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umptions" sheetId="1" r:id="rId4"/>
    <sheet state="visible" name="Income Statement" sheetId="2" r:id="rId5"/>
    <sheet state="visible" name="Balance Sheet" sheetId="3" r:id="rId6"/>
    <sheet state="visible" name="Cash Flow Statement" sheetId="4" r:id="rId7"/>
    <sheet state="visible" name="PPE Schedule" sheetId="5" r:id="rId8"/>
    <sheet state="visible" name="Debt Schedule" sheetId="6" r:id="rId9"/>
    <sheet state="visible" name="DCF" sheetId="7" r:id="rId10"/>
    <sheet state="visible" name="LBO Modelling" sheetId="8" r:id="rId11"/>
    <sheet state="visible" name="FCFE Valuation" sheetId="9" r:id="rId12"/>
    <sheet state="visible" name="WSO Cover Page" sheetId="10" r:id="rId13"/>
    <sheet state="visible" name="PE Returns analysis" sheetId="11" r:id="rId14"/>
    <sheet state="visible" name="WACC Calculation" sheetId="12" r:id="rId15"/>
    <sheet state="hidden" name="Football Field" sheetId="13" r:id="rId16"/>
    <sheet state="hidden" name="Charts" sheetId="14" r:id="rId17"/>
  </sheets>
  <definedNames/>
  <calcPr/>
</workbook>
</file>

<file path=xl/sharedStrings.xml><?xml version="1.0" encoding="utf-8"?>
<sst xmlns="http://schemas.openxmlformats.org/spreadsheetml/2006/main" count="322" uniqueCount="210">
  <si>
    <t>Select Case</t>
  </si>
  <si>
    <t>Base Case</t>
  </si>
  <si>
    <t>Downside case</t>
  </si>
  <si>
    <t>Upside case</t>
  </si>
  <si>
    <t>Inputs</t>
  </si>
  <si>
    <t>Juices/Sports Energy Drinks Volume Growth</t>
  </si>
  <si>
    <t>Actual</t>
  </si>
  <si>
    <t>Base</t>
  </si>
  <si>
    <t>Downside</t>
  </si>
  <si>
    <t>Upside</t>
  </si>
  <si>
    <t>Water Volume Growth</t>
  </si>
  <si>
    <t>Carbonates Volume Growth</t>
  </si>
  <si>
    <t>Confectionery Volume Growth</t>
  </si>
  <si>
    <t>COGS as % of Gross Sales</t>
  </si>
  <si>
    <t>Selling expenses as % of Net Sales</t>
  </si>
  <si>
    <t>General and Administrative as % of Net Sales</t>
  </si>
  <si>
    <t>Capex as a % of Gross Sales</t>
  </si>
  <si>
    <t>Income Statement</t>
  </si>
  <si>
    <t>(YE 31-Dec, USDm)</t>
  </si>
  <si>
    <t>Gross Sales</t>
  </si>
  <si>
    <t>% growth</t>
  </si>
  <si>
    <t>Beverages</t>
  </si>
  <si>
    <t>% of Gross Sales</t>
  </si>
  <si>
    <t>% Growth</t>
  </si>
  <si>
    <t>Juices/Sports Energy Drinks</t>
  </si>
  <si>
    <t>% of Beverage Sales</t>
  </si>
  <si>
    <t>Juices/Sports Energy Drinks Volumes (mLtrs)</t>
  </si>
  <si>
    <t>Price per litre ($)</t>
  </si>
  <si>
    <t>Water</t>
  </si>
  <si>
    <t>Water Volumes (mLtrs)</t>
  </si>
  <si>
    <t>Carbonates</t>
  </si>
  <si>
    <t>Carbonates Volumes (mLtrs)</t>
  </si>
  <si>
    <t>Confectionery</t>
  </si>
  <si>
    <t>Confectionery Volumes (mKgs)</t>
  </si>
  <si>
    <t>Price per KG ($)</t>
  </si>
  <si>
    <t>Market Size</t>
  </si>
  <si>
    <t>Market Share in Confectionery Ind.(%)</t>
  </si>
  <si>
    <t>Discounts and Rebates</t>
  </si>
  <si>
    <t>Net Sales</t>
  </si>
  <si>
    <t>Cost of Goods Sold</t>
  </si>
  <si>
    <t>Gross Profit</t>
  </si>
  <si>
    <t>% of Net Sales</t>
  </si>
  <si>
    <t>Selling Expenses</t>
  </si>
  <si>
    <t>General &amp; Administrative Expenses</t>
  </si>
  <si>
    <t>EBIT</t>
  </si>
  <si>
    <t>% margin</t>
  </si>
  <si>
    <t>Depreciation &amp; Amortisation</t>
  </si>
  <si>
    <t>% of Gross sales</t>
  </si>
  <si>
    <t>% of Capex</t>
  </si>
  <si>
    <t>Capital Expenditure</t>
  </si>
  <si>
    <t>EBITDA</t>
  </si>
  <si>
    <t>Interest Expense</t>
  </si>
  <si>
    <t>EBT</t>
  </si>
  <si>
    <t>Taxes</t>
  </si>
  <si>
    <t>PAT (Carried over to Retained Earnings)</t>
  </si>
  <si>
    <t>Capex</t>
  </si>
  <si>
    <t>EBITDA-Capex</t>
  </si>
  <si>
    <t>EBITDA-Capex / EBITDA</t>
  </si>
  <si>
    <t>Capex / Net Sales</t>
  </si>
  <si>
    <t>ROE</t>
  </si>
  <si>
    <t>ROA</t>
  </si>
  <si>
    <t>Balance Sheet</t>
  </si>
  <si>
    <t>2011 (Adj.)</t>
  </si>
  <si>
    <t>Assets</t>
  </si>
  <si>
    <t>Fixed Assets</t>
  </si>
  <si>
    <t>Transaction GW (as per LBO)</t>
  </si>
  <si>
    <t>Current Assets</t>
  </si>
  <si>
    <t>Accounts Receivables</t>
  </si>
  <si>
    <t>Inventory</t>
  </si>
  <si>
    <t>Cash</t>
  </si>
  <si>
    <t>Total Assets</t>
  </si>
  <si>
    <t>Liabilities</t>
  </si>
  <si>
    <t>Shareholders' Funds</t>
  </si>
  <si>
    <t>Equity Share Capital</t>
  </si>
  <si>
    <t>Retained Earnings</t>
  </si>
  <si>
    <t>Long Term Debt</t>
  </si>
  <si>
    <t>Current Liabilities</t>
  </si>
  <si>
    <t>Accounts Payables</t>
  </si>
  <si>
    <t>Total Liabilities</t>
  </si>
  <si>
    <t>Check</t>
  </si>
  <si>
    <t>Current Ratio</t>
  </si>
  <si>
    <t>Industry Average - GCC</t>
  </si>
  <si>
    <t>Assumed Current Ratio of Company</t>
  </si>
  <si>
    <t>Assumed Current Assets</t>
  </si>
  <si>
    <t>Balance Cash</t>
  </si>
  <si>
    <t>Days Payable Calculation</t>
  </si>
  <si>
    <t>Accounts Receivables Days</t>
  </si>
  <si>
    <t>Accounts Payables Days</t>
  </si>
  <si>
    <t>Inventory Days</t>
  </si>
  <si>
    <t>WC</t>
  </si>
  <si>
    <t>Net Debt</t>
  </si>
  <si>
    <t>Cash Flow Statement</t>
  </si>
  <si>
    <t>Net Profit</t>
  </si>
  <si>
    <t>Add: Interest</t>
  </si>
  <si>
    <t>Add: Depreciation &amp; Amortisation</t>
  </si>
  <si>
    <t>Changes in working capital</t>
  </si>
  <si>
    <t>Change in Accounts receivables</t>
  </si>
  <si>
    <t>Change in Accounts payables</t>
  </si>
  <si>
    <t>Change in Accounts inventory</t>
  </si>
  <si>
    <t>Less: Interest Expenses</t>
  </si>
  <si>
    <t>Less: Taxes</t>
  </si>
  <si>
    <t>Cash Flow from Operating Activities</t>
  </si>
  <si>
    <t>Cash Flow from Investing Activities</t>
  </si>
  <si>
    <t>Debt Repayment</t>
  </si>
  <si>
    <t>Cash Flow from Financing Activities</t>
  </si>
  <si>
    <t>Net Change in cash during the year</t>
  </si>
  <si>
    <t>Add: Opening Cash Flow</t>
  </si>
  <si>
    <t>Closing Cash Flow</t>
  </si>
  <si>
    <t>PPE Schedule</t>
  </si>
  <si>
    <t>Opening Balance</t>
  </si>
  <si>
    <t>(+) Additions</t>
  </si>
  <si>
    <t>(-) Sale</t>
  </si>
  <si>
    <t>(-) Depreciation</t>
  </si>
  <si>
    <t>Closing Balance</t>
  </si>
  <si>
    <t>Debt Schedule</t>
  </si>
  <si>
    <t>(-) Repayment</t>
  </si>
  <si>
    <t>Interest Rate</t>
  </si>
  <si>
    <t>LBO financed after 2011</t>
  </si>
  <si>
    <t>Juice Co.</t>
  </si>
  <si>
    <t xml:space="preserve">Discounted Cash Flow </t>
  </si>
  <si>
    <t>D&amp;A</t>
  </si>
  <si>
    <t>NWC Change</t>
  </si>
  <si>
    <t>FCF</t>
  </si>
  <si>
    <t>Factor</t>
  </si>
  <si>
    <t>Discounted FCF</t>
  </si>
  <si>
    <t>WACC</t>
  </si>
  <si>
    <t>PGR</t>
  </si>
  <si>
    <t>Terminal value</t>
  </si>
  <si>
    <t>Discounted TV</t>
  </si>
  <si>
    <t>PV of CF</t>
  </si>
  <si>
    <t>EV</t>
  </si>
  <si>
    <t>Minority Interest</t>
  </si>
  <si>
    <t>Equity Value</t>
  </si>
  <si>
    <t>1 Year Fwd EV/EBITDA</t>
  </si>
  <si>
    <t>1 Year Fwd EV/EBIT</t>
  </si>
  <si>
    <t>Sensitivity Table</t>
  </si>
  <si>
    <t>LBO Modelling</t>
  </si>
  <si>
    <t>($m)</t>
  </si>
  <si>
    <t>LTM EBITDA (2011A)</t>
  </si>
  <si>
    <t>EBITDA FY+1 (2012)</t>
  </si>
  <si>
    <t>Assumed Valuation (FY+1 EV/EBITDA)</t>
  </si>
  <si>
    <t>Assumed Leverage Level (LTM EBITDA)</t>
  </si>
  <si>
    <t>LBO Net Debt (Total)</t>
  </si>
  <si>
    <t>Senior Debt</t>
  </si>
  <si>
    <t>7 years</t>
  </si>
  <si>
    <t>Sub Debt</t>
  </si>
  <si>
    <t>8 years</t>
  </si>
  <si>
    <t>Enterprise Value</t>
  </si>
  <si>
    <t>Average Cost of debt</t>
  </si>
  <si>
    <t>Equity Value in BS</t>
  </si>
  <si>
    <t>Free Cash Flow before Financing</t>
  </si>
  <si>
    <t>Less:</t>
  </si>
  <si>
    <t>Interest Payments</t>
  </si>
  <si>
    <t>Repayments</t>
  </si>
  <si>
    <t>Cash utilised to make repayments</t>
  </si>
  <si>
    <t>Cash Available to equity holders</t>
  </si>
  <si>
    <t>Subordinated Debt</t>
  </si>
  <si>
    <t>Cash Outflow &amp; Debt</t>
  </si>
  <si>
    <t>Interest</t>
  </si>
  <si>
    <t>Repayment</t>
  </si>
  <si>
    <t>Debt Outstanding</t>
  </si>
  <si>
    <t>IRR Valuation</t>
  </si>
  <si>
    <t>Free Cash Flow to Equity</t>
  </si>
  <si>
    <t>COE</t>
  </si>
  <si>
    <t>Welcome to WallStreetOasis' free financial model templates! Download more free templates, master your finance career, and get top interviewing/networking/modeling tips at WallStreetOasis.com. You can find other services and information at WSO below:</t>
  </si>
  <si>
    <t>FREE RESOURCES</t>
  </si>
  <si>
    <t>PREMIUM RESOURCES &amp; SERVICES</t>
  </si>
  <si>
    <t>Join the WSO Community! &gt;&gt;</t>
  </si>
  <si>
    <t>Interview &amp; Prep Courses (IB, PE, HF, Consulting) &gt;&gt;</t>
  </si>
  <si>
    <t>Top FAQs &amp; Resources &gt;&gt;</t>
  </si>
  <si>
    <t>Resume Review Service &gt;&gt;</t>
  </si>
  <si>
    <t>Industry Reports &amp; Company Database &gt;&gt;</t>
  </si>
  <si>
    <t>Find a Mentor &gt;&gt;</t>
  </si>
  <si>
    <t>WSO Templates (Resume, Networking, Models, etc) &gt;&gt;</t>
  </si>
  <si>
    <t>GMAT/Series 7 Exam Prep Courses &gt;&gt;</t>
  </si>
  <si>
    <t>The Talent Oasis - Land a Job! &gt;&gt;</t>
  </si>
  <si>
    <t>IRR Returns Analysis</t>
  </si>
  <si>
    <t>Returns in 5 years</t>
  </si>
  <si>
    <t>Entry Multiple (FY1 EBITDA)</t>
  </si>
  <si>
    <t>EBITDA FY1</t>
  </si>
  <si>
    <t>EXIT Multiple (5 years)</t>
  </si>
  <si>
    <t>EBITDA FY1 (EXIT)</t>
  </si>
  <si>
    <t>Enterprise Value (EXIT) $m</t>
  </si>
  <si>
    <t>Less: Net Debt</t>
  </si>
  <si>
    <t>Equity Value (EXIT) $m</t>
  </si>
  <si>
    <t>Equity Investment</t>
  </si>
  <si>
    <t>Equity inflow at the time of sale</t>
  </si>
  <si>
    <t>Total Cashflows</t>
  </si>
  <si>
    <t>IRR</t>
  </si>
  <si>
    <t>Entry Equity Value</t>
  </si>
  <si>
    <t>Enterprise value</t>
  </si>
  <si>
    <t>EV/EBITDA FY+1</t>
  </si>
  <si>
    <t>5 year Exit scenario (Exit Multiple = 12.0x FY+1 EBITDA)</t>
  </si>
  <si>
    <t>Entry Price</t>
  </si>
  <si>
    <t>Target capital structure</t>
  </si>
  <si>
    <t>Debt</t>
  </si>
  <si>
    <t>Equity</t>
  </si>
  <si>
    <t>Cost of Equity</t>
  </si>
  <si>
    <t>pre-tax Cost of Debt</t>
  </si>
  <si>
    <t>Post tax cost of debt</t>
  </si>
  <si>
    <t>FY1</t>
  </si>
  <si>
    <t>Trading Comps FY+1 EBITDA</t>
  </si>
  <si>
    <t>FY+1 EBITDA</t>
  </si>
  <si>
    <t>DCF</t>
  </si>
  <si>
    <t>10-12% WACC, 1.5-2.5% PGR</t>
  </si>
  <si>
    <t>FCFE</t>
  </si>
  <si>
    <t>14-16% CoE, 1.5-2.5% PGR</t>
  </si>
  <si>
    <t>LBO (5 year exit)</t>
  </si>
  <si>
    <t>5 Year exit, Exit Multiple = 12x, Returns: 20-25%</t>
  </si>
  <si>
    <t>FY2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</si>
</sst>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0.0%"/>
    <numFmt numFmtId="165" formatCode="#,##0;\(#,##0\);\-\-"/>
    <numFmt numFmtId="166" formatCode="0&quot;A&quot;"/>
    <numFmt numFmtId="167" formatCode="0&quot;E&quot;"/>
    <numFmt numFmtId="168" formatCode="#,##0.0;\(#,##0.0\);\-\-"/>
    <numFmt numFmtId="169" formatCode="0%;\(0%\)"/>
    <numFmt numFmtId="170" formatCode="0&quot; days&quot;"/>
    <numFmt numFmtId="171" formatCode="0.0"/>
    <numFmt numFmtId="172" formatCode="0.0\x"/>
    <numFmt numFmtId="173" formatCode="#,##0.0"/>
    <numFmt numFmtId="174" formatCode="0.0;\(0.0\)"/>
  </numFmts>
  <fonts count="31">
    <font>
      <sz val="11.0"/>
      <color theme="1"/>
      <name val="Arial"/>
    </font>
    <font>
      <b/>
      <sz val="11.0"/>
      <color theme="1"/>
      <name val="Calibri"/>
    </font>
    <font>
      <sz val="11.0"/>
      <color rgb="FF0F243E"/>
      <name val="Calibri"/>
    </font>
    <font>
      <sz val="11.0"/>
      <color theme="1"/>
      <name val="Calibri"/>
    </font>
    <font>
      <b/>
      <sz val="11.0"/>
      <color theme="0"/>
      <name val="Calibri"/>
    </font>
    <font/>
    <font>
      <sz val="11.0"/>
      <color rgb="FF244061"/>
      <name val="Calibri"/>
    </font>
    <font>
      <color theme="1"/>
      <name val="Calibri"/>
    </font>
    <font>
      <sz val="10.0"/>
      <color theme="1"/>
      <name val="Arial"/>
    </font>
    <font>
      <b/>
      <sz val="10.0"/>
      <color theme="0"/>
      <name val="Arial"/>
    </font>
    <font>
      <i/>
      <sz val="10.0"/>
      <color theme="1"/>
      <name val="Arial"/>
    </font>
    <font>
      <i/>
      <sz val="10.0"/>
      <color theme="0"/>
      <name val="Arial"/>
    </font>
    <font>
      <b/>
      <sz val="10.0"/>
      <color theme="1"/>
      <name val="Arial"/>
    </font>
    <font>
      <sz val="10.0"/>
      <color rgb="FF1F497D"/>
      <name val="Arial"/>
    </font>
    <font>
      <b/>
      <sz val="10.0"/>
      <color rgb="FFC00000"/>
      <name val="Arial"/>
    </font>
    <font>
      <sz val="10.0"/>
      <color rgb="FFC00000"/>
      <name val="Arial"/>
    </font>
    <font>
      <i/>
      <sz val="10.0"/>
      <color rgb="FFFF0000"/>
      <name val="Arial"/>
    </font>
    <font>
      <b/>
      <i/>
      <sz val="10.0"/>
      <color theme="0"/>
      <name val="Arial"/>
    </font>
    <font>
      <sz val="10.0"/>
      <color theme="0"/>
      <name val="Arial"/>
    </font>
    <font>
      <b/>
      <sz val="10.0"/>
      <color rgb="FF0F243E"/>
      <name val="Arial"/>
    </font>
    <font>
      <sz val="12.0"/>
      <color theme="1"/>
      <name val="Calibri"/>
    </font>
    <font>
      <b/>
      <sz val="18.0"/>
      <color theme="1"/>
      <name val="Calibri"/>
    </font>
    <font>
      <b/>
      <u/>
      <sz val="12.0"/>
      <color theme="10"/>
      <name val="Calibri"/>
    </font>
    <font>
      <u/>
      <sz val="12.0"/>
      <color theme="10"/>
      <name val="Calibri"/>
    </font>
    <font>
      <b/>
      <u/>
      <sz val="18.0"/>
      <color theme="10"/>
    </font>
    <font>
      <b/>
      <u/>
      <sz val="18.0"/>
      <color theme="10"/>
      <name val="Calibri"/>
    </font>
    <font>
      <u/>
      <sz val="18.0"/>
      <color theme="10"/>
      <name val="Calibri"/>
    </font>
    <font>
      <b/>
      <sz val="12.0"/>
      <color theme="1"/>
      <name val="Calibri"/>
    </font>
    <font>
      <u/>
      <sz val="12.0"/>
      <color theme="10"/>
      <name val="Calibri"/>
    </font>
    <font>
      <b/>
      <u/>
      <sz val="10.0"/>
      <color theme="1"/>
      <name val="Arial"/>
    </font>
    <font>
      <sz val="10.0"/>
      <color rgb="FF0F243E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theme="8"/>
        <bgColor theme="8"/>
      </patternFill>
    </fill>
    <fill>
      <patternFill patternType="solid">
        <fgColor rgb="FFB8CCE4"/>
        <bgColor rgb="FFB8CCE4"/>
      </patternFill>
    </fill>
  </fills>
  <borders count="54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7F7F7F"/>
      </bottom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 style="dotted">
        <color rgb="FFD8D8D8"/>
      </right>
      <top/>
      <bottom/>
    </border>
    <border>
      <left/>
      <right style="thin">
        <color theme="0"/>
      </right>
      <top/>
      <bottom/>
    </border>
    <border>
      <right style="dotted">
        <color rgb="FFD8D8D8"/>
      </right>
    </border>
    <border>
      <left/>
      <right style="dotted">
        <color rgb="FFD8D8D8"/>
      </right>
      <top/>
      <bottom/>
    </border>
    <border>
      <bottom style="thin">
        <color rgb="FFBFBFBF"/>
      </bottom>
    </border>
    <border>
      <right style="dotted">
        <color rgb="FFD8D8D8"/>
      </right>
      <bottom style="thin">
        <color rgb="FFBFBFBF"/>
      </bottom>
    </border>
    <border>
      <left style="thin">
        <color theme="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dotted">
        <color rgb="FFD8D8D8"/>
      </right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D8D8D8"/>
      </top>
    </border>
    <border>
      <right style="dotted">
        <color rgb="FFD8D8D8"/>
      </right>
      <top style="thin">
        <color rgb="FFD8D8D8"/>
      </top>
    </border>
    <border>
      <right style="dotted">
        <color rgb="FFD8D8D8"/>
      </right>
      <top style="thin">
        <color rgb="FF000000"/>
      </top>
    </border>
    <border>
      <left/>
      <right/>
      <top style="thin">
        <color rgb="FF000000"/>
      </top>
      <bottom style="double">
        <color rgb="FF000000"/>
      </bottom>
    </border>
    <border>
      <left/>
      <right style="dotted">
        <color rgb="FFD8D8D8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D8D8D8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</border>
    <border>
      <left/>
      <right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Border="1" applyFill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4" fontId="4" numFmtId="0" xfId="0" applyAlignment="1" applyBorder="1" applyFill="1" applyFont="1">
      <alignment horizontal="center"/>
    </xf>
    <xf borderId="8" fillId="0" fontId="5" numFmtId="0" xfId="0" applyBorder="1" applyFont="1"/>
    <xf borderId="9" fillId="0" fontId="5" numFmtId="0" xfId="0" applyBorder="1" applyFont="1"/>
    <xf borderId="0" fillId="0" fontId="1" numFmtId="0" xfId="0" applyFont="1"/>
    <xf borderId="10" fillId="3" fontId="6" numFmtId="0" xfId="0" applyAlignment="1" applyBorder="1" applyFont="1">
      <alignment horizontal="left"/>
    </xf>
    <xf borderId="11" fillId="0" fontId="1" numFmtId="0" xfId="0" applyBorder="1" applyFont="1"/>
    <xf borderId="0" fillId="0" fontId="7" numFmtId="0" xfId="0" applyFont="1"/>
    <xf borderId="0" fillId="0" fontId="3" numFmtId="164" xfId="0" applyFont="1" applyNumberFormat="1"/>
    <xf borderId="10" fillId="3" fontId="6" numFmtId="164" xfId="0" applyBorder="1" applyFont="1" applyNumberFormat="1"/>
    <xf borderId="0" fillId="0" fontId="8" numFmtId="165" xfId="0" applyFont="1" applyNumberFormat="1"/>
    <xf borderId="10" fillId="4" fontId="9" numFmtId="165" xfId="0" applyBorder="1" applyFont="1" applyNumberFormat="1"/>
    <xf borderId="0" fillId="0" fontId="10" numFmtId="165" xfId="0" applyFont="1" applyNumberFormat="1"/>
    <xf borderId="10" fillId="4" fontId="11" numFmtId="165" xfId="0" applyBorder="1" applyFont="1" applyNumberFormat="1"/>
    <xf borderId="12" fillId="4" fontId="9" numFmtId="166" xfId="0" applyBorder="1" applyFont="1" applyNumberFormat="1"/>
    <xf borderId="13" fillId="4" fontId="9" numFmtId="166" xfId="0" applyBorder="1" applyFont="1" applyNumberFormat="1"/>
    <xf borderId="14" fillId="4" fontId="9" numFmtId="167" xfId="0" applyBorder="1" applyFont="1" applyNumberFormat="1"/>
    <xf borderId="12" fillId="4" fontId="9" numFmtId="167" xfId="0" applyBorder="1" applyFont="1" applyNumberFormat="1"/>
    <xf borderId="0" fillId="0" fontId="8" numFmtId="166" xfId="0" applyFont="1" applyNumberFormat="1"/>
    <xf borderId="15" fillId="0" fontId="8" numFmtId="166" xfId="0" applyBorder="1" applyFont="1" applyNumberFormat="1"/>
    <xf borderId="0" fillId="0" fontId="8" numFmtId="167" xfId="0" applyFont="1" applyNumberFormat="1"/>
    <xf borderId="0" fillId="0" fontId="12" numFmtId="165" xfId="0" applyFont="1" applyNumberFormat="1"/>
    <xf borderId="0" fillId="0" fontId="12" numFmtId="168" xfId="0" applyFont="1" applyNumberFormat="1"/>
    <xf borderId="15" fillId="0" fontId="12" numFmtId="168" xfId="0" applyBorder="1" applyFont="1" applyNumberFormat="1"/>
    <xf borderId="0" fillId="0" fontId="8" numFmtId="168" xfId="0" applyFont="1" applyNumberFormat="1"/>
    <xf borderId="0" fillId="0" fontId="10" numFmtId="168" xfId="0" applyFont="1" applyNumberFormat="1"/>
    <xf borderId="0" fillId="0" fontId="10" numFmtId="9" xfId="0" applyFont="1" applyNumberFormat="1"/>
    <xf borderId="15" fillId="0" fontId="10" numFmtId="9" xfId="0" applyBorder="1" applyFont="1" applyNumberFormat="1"/>
    <xf borderId="15" fillId="0" fontId="8" numFmtId="168" xfId="0" applyBorder="1" applyFont="1" applyNumberFormat="1"/>
    <xf borderId="0" fillId="0" fontId="12" numFmtId="165" xfId="0" applyAlignment="1" applyFont="1" applyNumberFormat="1">
      <alignment horizontal="left"/>
    </xf>
    <xf borderId="0" fillId="0" fontId="10" numFmtId="165" xfId="0" applyAlignment="1" applyFont="1" applyNumberFormat="1">
      <alignment horizontal="left"/>
    </xf>
    <xf borderId="0" fillId="0" fontId="8" numFmtId="165" xfId="0" applyAlignment="1" applyFont="1" applyNumberFormat="1">
      <alignment horizontal="left"/>
    </xf>
    <xf borderId="10" fillId="3" fontId="10" numFmtId="9" xfId="0" applyBorder="1" applyFont="1" applyNumberFormat="1"/>
    <xf borderId="0" fillId="0" fontId="10" numFmtId="169" xfId="0" applyFont="1" applyNumberFormat="1"/>
    <xf borderId="10" fillId="3" fontId="8" numFmtId="168" xfId="0" applyBorder="1" applyFont="1" applyNumberFormat="1"/>
    <xf borderId="16" fillId="3" fontId="10" numFmtId="9" xfId="0" applyBorder="1" applyFont="1" applyNumberFormat="1"/>
    <xf borderId="0" fillId="0" fontId="10" numFmtId="164" xfId="0" applyFont="1" applyNumberFormat="1"/>
    <xf borderId="0" fillId="0" fontId="8" numFmtId="164" xfId="0" applyFont="1" applyNumberFormat="1"/>
    <xf borderId="10" fillId="5" fontId="10" numFmtId="9" xfId="0" applyBorder="1" applyFill="1" applyFont="1" applyNumberFormat="1"/>
    <xf borderId="16" fillId="5" fontId="10" numFmtId="9" xfId="0" applyBorder="1" applyFont="1" applyNumberFormat="1"/>
    <xf borderId="15" fillId="0" fontId="10" numFmtId="168" xfId="0" applyBorder="1" applyFont="1" applyNumberFormat="1"/>
    <xf borderId="0" fillId="0" fontId="13" numFmtId="168" xfId="0" applyFont="1" applyNumberFormat="1"/>
    <xf borderId="0" fillId="0" fontId="8" numFmtId="9" xfId="0" applyFont="1" applyNumberFormat="1"/>
    <xf borderId="15" fillId="0" fontId="8" numFmtId="9" xfId="0" applyBorder="1" applyFont="1" applyNumberFormat="1"/>
    <xf borderId="10" fillId="6" fontId="10" numFmtId="9" xfId="0" applyBorder="1" applyFill="1" applyFont="1" applyNumberFormat="1"/>
    <xf borderId="17" fillId="0" fontId="8" numFmtId="165" xfId="0" applyBorder="1" applyFont="1" applyNumberFormat="1"/>
    <xf borderId="17" fillId="0" fontId="8" numFmtId="168" xfId="0" applyBorder="1" applyFont="1" applyNumberFormat="1"/>
    <xf borderId="18" fillId="0" fontId="8" numFmtId="168" xfId="0" applyBorder="1" applyFont="1" applyNumberFormat="1"/>
    <xf borderId="10" fillId="2" fontId="12" numFmtId="165" xfId="0" applyBorder="1" applyFont="1" applyNumberFormat="1"/>
    <xf borderId="10" fillId="2" fontId="12" numFmtId="168" xfId="0" applyBorder="1" applyFont="1" applyNumberFormat="1"/>
    <xf borderId="16" fillId="2" fontId="12" numFmtId="168" xfId="0" applyBorder="1" applyFont="1" applyNumberFormat="1"/>
    <xf borderId="0" fillId="0" fontId="8" numFmtId="10" xfId="0" applyFont="1" applyNumberFormat="1"/>
    <xf borderId="12" fillId="4" fontId="11" numFmtId="165" xfId="0" applyBorder="1" applyFont="1" applyNumberFormat="1"/>
    <xf borderId="19" fillId="4" fontId="9" numFmtId="166" xfId="0" applyBorder="1" applyFont="1" applyNumberFormat="1"/>
    <xf borderId="20" fillId="4" fontId="9" numFmtId="166" xfId="0" applyBorder="1" applyFont="1" applyNumberFormat="1"/>
    <xf borderId="20" fillId="7" fontId="8" numFmtId="166" xfId="0" applyBorder="1" applyFill="1" applyFont="1" applyNumberFormat="1"/>
    <xf borderId="20" fillId="7" fontId="8" numFmtId="168" xfId="0" applyBorder="1" applyFont="1" applyNumberFormat="1"/>
    <xf borderId="20" fillId="7" fontId="10" numFmtId="9" xfId="0" applyBorder="1" applyFont="1" applyNumberFormat="1"/>
    <xf borderId="0" fillId="0" fontId="14" numFmtId="165" xfId="0" applyAlignment="1" applyFont="1" applyNumberFormat="1">
      <alignment horizontal="left"/>
    </xf>
    <xf borderId="20" fillId="7" fontId="15" numFmtId="168" xfId="0" applyBorder="1" applyFont="1" applyNumberFormat="1"/>
    <xf borderId="21" fillId="0" fontId="12" numFmtId="165" xfId="0" applyAlignment="1" applyBorder="1" applyFont="1" applyNumberFormat="1">
      <alignment horizontal="left"/>
    </xf>
    <xf borderId="21" fillId="0" fontId="12" numFmtId="168" xfId="0" applyBorder="1" applyFont="1" applyNumberFormat="1"/>
    <xf borderId="22" fillId="7" fontId="12" numFmtId="168" xfId="0" applyBorder="1" applyFont="1" applyNumberFormat="1"/>
    <xf borderId="20" fillId="7" fontId="12" numFmtId="168" xfId="0" applyBorder="1" applyFont="1" applyNumberFormat="1"/>
    <xf borderId="21" fillId="0" fontId="8" numFmtId="165" xfId="0" applyAlignment="1" applyBorder="1" applyFont="1" applyNumberFormat="1">
      <alignment horizontal="left"/>
    </xf>
    <xf borderId="0" fillId="0" fontId="16" numFmtId="165" xfId="0" applyFont="1" applyNumberFormat="1"/>
    <xf borderId="0" fillId="0" fontId="16" numFmtId="165" xfId="0" applyAlignment="1" applyFont="1" applyNumberFormat="1">
      <alignment horizontal="left"/>
    </xf>
    <xf borderId="0" fillId="0" fontId="16" numFmtId="168" xfId="0" applyFont="1" applyNumberFormat="1"/>
    <xf borderId="23" fillId="0" fontId="12" numFmtId="165" xfId="0" applyAlignment="1" applyBorder="1" applyFont="1" applyNumberFormat="1">
      <alignment horizontal="left"/>
    </xf>
    <xf borderId="24" fillId="0" fontId="8" numFmtId="168" xfId="0" applyBorder="1" applyFont="1" applyNumberFormat="1"/>
    <xf borderId="3" fillId="0" fontId="8" numFmtId="165" xfId="0" applyAlignment="1" applyBorder="1" applyFont="1" applyNumberFormat="1">
      <alignment horizontal="left"/>
    </xf>
    <xf borderId="4" fillId="0" fontId="8" numFmtId="168" xfId="0" applyBorder="1" applyFont="1" applyNumberFormat="1"/>
    <xf borderId="3" fillId="0" fontId="10" numFmtId="165" xfId="0" applyAlignment="1" applyBorder="1" applyFont="1" applyNumberFormat="1">
      <alignment horizontal="left"/>
    </xf>
    <xf borderId="4" fillId="0" fontId="10" numFmtId="9" xfId="0" applyBorder="1" applyFont="1" applyNumberFormat="1"/>
    <xf borderId="25" fillId="2" fontId="8" numFmtId="165" xfId="0" applyAlignment="1" applyBorder="1" applyFont="1" applyNumberFormat="1">
      <alignment horizontal="left"/>
    </xf>
    <xf borderId="26" fillId="2" fontId="8" numFmtId="168" xfId="0" applyBorder="1" applyFont="1" applyNumberFormat="1"/>
    <xf borderId="1" fillId="4" fontId="9" numFmtId="165" xfId="0" applyAlignment="1" applyBorder="1" applyFont="1" applyNumberFormat="1">
      <alignment horizontal="left"/>
    </xf>
    <xf borderId="27" fillId="0" fontId="8" numFmtId="168" xfId="0" applyBorder="1" applyFont="1" applyNumberFormat="1"/>
    <xf borderId="14" fillId="4" fontId="9" numFmtId="166" xfId="0" applyBorder="1" applyFont="1" applyNumberFormat="1"/>
    <xf borderId="0" fillId="0" fontId="8" numFmtId="170" xfId="0" applyFont="1" applyNumberFormat="1"/>
    <xf borderId="15" fillId="0" fontId="8" numFmtId="170" xfId="0" applyBorder="1" applyFont="1" applyNumberFormat="1"/>
    <xf borderId="10" fillId="3" fontId="8" numFmtId="170" xfId="0" applyBorder="1" applyFont="1" applyNumberFormat="1"/>
    <xf borderId="4" fillId="0" fontId="8" numFmtId="170" xfId="0" applyBorder="1" applyFont="1" applyNumberFormat="1"/>
    <xf borderId="5" fillId="0" fontId="8" numFmtId="165" xfId="0" applyAlignment="1" applyBorder="1" applyFont="1" applyNumberFormat="1">
      <alignment horizontal="left"/>
    </xf>
    <xf borderId="28" fillId="0" fontId="8" numFmtId="170" xfId="0" applyBorder="1" applyFont="1" applyNumberFormat="1"/>
    <xf borderId="29" fillId="0" fontId="8" numFmtId="170" xfId="0" applyBorder="1" applyFont="1" applyNumberFormat="1"/>
    <xf borderId="30" fillId="3" fontId="8" numFmtId="170" xfId="0" applyBorder="1" applyFont="1" applyNumberFormat="1"/>
    <xf borderId="6" fillId="0" fontId="8" numFmtId="170" xfId="0" applyBorder="1" applyFont="1" applyNumberFormat="1"/>
    <xf borderId="31" fillId="0" fontId="12" numFmtId="165" xfId="0" applyBorder="1" applyFont="1" applyNumberFormat="1"/>
    <xf borderId="31" fillId="0" fontId="10" numFmtId="9" xfId="0" applyBorder="1" applyFont="1" applyNumberFormat="1"/>
    <xf borderId="31" fillId="0" fontId="12" numFmtId="168" xfId="0" applyBorder="1" applyFont="1" applyNumberFormat="1"/>
    <xf borderId="32" fillId="0" fontId="12" numFmtId="168" xfId="0" applyBorder="1" applyFont="1" applyNumberFormat="1"/>
    <xf borderId="31" fillId="0" fontId="8" numFmtId="168" xfId="0" applyBorder="1" applyFont="1" applyNumberFormat="1"/>
    <xf borderId="27" fillId="0" fontId="12" numFmtId="165" xfId="0" applyBorder="1" applyFont="1" applyNumberFormat="1"/>
    <xf borderId="27" fillId="0" fontId="12" numFmtId="168" xfId="0" applyBorder="1" applyFont="1" applyNumberFormat="1"/>
    <xf borderId="33" fillId="0" fontId="12" numFmtId="168" xfId="0" applyBorder="1" applyFont="1" applyNumberFormat="1"/>
    <xf borderId="34" fillId="2" fontId="12" numFmtId="165" xfId="0" applyAlignment="1" applyBorder="1" applyFont="1" applyNumberFormat="1">
      <alignment horizontal="left"/>
    </xf>
    <xf borderId="34" fillId="2" fontId="8" numFmtId="168" xfId="0" applyBorder="1" applyFont="1" applyNumberFormat="1"/>
    <xf borderId="34" fillId="2" fontId="12" numFmtId="168" xfId="0" applyBorder="1" applyFont="1" applyNumberFormat="1"/>
    <xf borderId="35" fillId="2" fontId="12" numFmtId="168" xfId="0" applyBorder="1" applyFont="1" applyNumberFormat="1"/>
    <xf borderId="10" fillId="4" fontId="17" numFmtId="165" xfId="0" applyBorder="1" applyFont="1" applyNumberFormat="1"/>
    <xf borderId="12" fillId="4" fontId="11" numFmtId="166" xfId="0" applyBorder="1" applyFont="1" applyNumberFormat="1"/>
    <xf borderId="12" fillId="4" fontId="18" numFmtId="166" xfId="0" applyBorder="1" applyFont="1" applyNumberFormat="1"/>
    <xf borderId="12" fillId="4" fontId="18" numFmtId="167" xfId="0" applyBorder="1" applyFont="1" applyNumberFormat="1"/>
    <xf borderId="36" fillId="5" fontId="8" numFmtId="165" xfId="0" applyAlignment="1" applyBorder="1" applyFont="1" applyNumberFormat="1">
      <alignment horizontal="left"/>
    </xf>
    <xf borderId="37" fillId="5" fontId="8" numFmtId="9" xfId="0" applyBorder="1" applyFont="1" applyNumberFormat="1"/>
    <xf borderId="38" fillId="5" fontId="8" numFmtId="168" xfId="0" applyBorder="1" applyFont="1" applyNumberFormat="1"/>
    <xf borderId="37" fillId="5" fontId="8" numFmtId="168" xfId="0" applyBorder="1" applyFont="1" applyNumberFormat="1"/>
    <xf borderId="10" fillId="4" fontId="9" numFmtId="168" xfId="0" applyBorder="1" applyFont="1" applyNumberFormat="1"/>
    <xf borderId="10" fillId="4" fontId="18" numFmtId="168" xfId="0" applyBorder="1" applyFont="1" applyNumberFormat="1"/>
    <xf borderId="10" fillId="4" fontId="9" numFmtId="0" xfId="0" applyBorder="1" applyFont="1"/>
    <xf borderId="10" fillId="4" fontId="18" numFmtId="0" xfId="0" applyBorder="1" applyFont="1"/>
    <xf borderId="10" fillId="6" fontId="8" numFmtId="0" xfId="0" applyBorder="1" applyFont="1"/>
    <xf borderId="30" fillId="6" fontId="10" numFmtId="165" xfId="0" applyBorder="1" applyFont="1" applyNumberFormat="1"/>
    <xf borderId="30" fillId="6" fontId="8" numFmtId="0" xfId="0" applyBorder="1" applyFont="1"/>
    <xf borderId="10" fillId="6" fontId="18" numFmtId="0" xfId="0" applyBorder="1" applyFont="1"/>
    <xf borderId="10" fillId="6" fontId="8" numFmtId="1" xfId="0" applyBorder="1" applyFont="1" applyNumberFormat="1"/>
    <xf borderId="0" fillId="0" fontId="8" numFmtId="0" xfId="0" applyFont="1"/>
    <xf borderId="10" fillId="6" fontId="8" numFmtId="171" xfId="0" applyBorder="1" applyFont="1" applyNumberFormat="1"/>
    <xf borderId="39" fillId="6" fontId="12" numFmtId="0" xfId="0" applyBorder="1" applyFont="1"/>
    <xf borderId="39" fillId="6" fontId="12" numFmtId="1" xfId="0" applyBorder="1" applyFont="1" applyNumberFormat="1"/>
    <xf borderId="10" fillId="6" fontId="12" numFmtId="0" xfId="0" applyBorder="1" applyFont="1"/>
    <xf borderId="10" fillId="6" fontId="12" numFmtId="1" xfId="0" applyBorder="1" applyFont="1" applyNumberFormat="1"/>
    <xf borderId="10" fillId="6" fontId="10" numFmtId="0" xfId="0" applyBorder="1" applyFont="1"/>
    <xf borderId="1" fillId="6" fontId="12" numFmtId="0" xfId="0" applyBorder="1" applyFont="1"/>
    <xf borderId="40" fillId="6" fontId="12" numFmtId="0" xfId="0" applyBorder="1" applyFont="1"/>
    <xf borderId="2" fillId="3" fontId="19" numFmtId="9" xfId="0" applyBorder="1" applyFont="1" applyNumberFormat="1"/>
    <xf borderId="41" fillId="6" fontId="12" numFmtId="0" xfId="0" applyBorder="1" applyFont="1"/>
    <xf borderId="42" fillId="3" fontId="19" numFmtId="9" xfId="0" applyBorder="1" applyFont="1" applyNumberFormat="1"/>
    <xf borderId="41" fillId="6" fontId="8" numFmtId="0" xfId="0" applyBorder="1" applyFont="1"/>
    <xf borderId="42" fillId="6" fontId="8" numFmtId="9" xfId="0" applyBorder="1" applyFont="1" applyNumberFormat="1"/>
    <xf borderId="42" fillId="6" fontId="8" numFmtId="0" xfId="0" applyBorder="1" applyFont="1"/>
    <xf borderId="10" fillId="6" fontId="8" numFmtId="4" xfId="0" applyBorder="1" applyFont="1" applyNumberFormat="1"/>
    <xf borderId="4" fillId="0" fontId="12" numFmtId="168" xfId="0" applyBorder="1" applyFont="1" applyNumberFormat="1"/>
    <xf borderId="10" fillId="6" fontId="8" numFmtId="168" xfId="0" applyBorder="1" applyFont="1" applyNumberFormat="1"/>
    <xf borderId="25" fillId="6" fontId="12" numFmtId="0" xfId="0" applyBorder="1" applyFont="1"/>
    <xf borderId="30" fillId="6" fontId="12" numFmtId="0" xfId="0" applyBorder="1" applyFont="1"/>
    <xf borderId="6" fillId="0" fontId="12" numFmtId="168" xfId="0" applyBorder="1" applyFont="1" applyNumberFormat="1"/>
    <xf borderId="2" fillId="6" fontId="12" numFmtId="172" xfId="0" applyBorder="1" applyFont="1" applyNumberFormat="1"/>
    <xf borderId="26" fillId="6" fontId="12" numFmtId="172" xfId="0" applyBorder="1" applyFont="1" applyNumberFormat="1"/>
    <xf borderId="7" fillId="6" fontId="12" numFmtId="0" xfId="0" applyAlignment="1" applyBorder="1" applyFont="1">
      <alignment horizontal="center"/>
    </xf>
    <xf borderId="7" fillId="4" fontId="9" numFmtId="0" xfId="0" applyAlignment="1" applyBorder="1" applyFont="1">
      <alignment horizontal="center"/>
    </xf>
    <xf borderId="7" fillId="8" fontId="12" numFmtId="0" xfId="0" applyAlignment="1" applyBorder="1" applyFill="1" applyFont="1">
      <alignment horizontal="center"/>
    </xf>
    <xf borderId="10" fillId="6" fontId="18" numFmtId="1" xfId="0" applyBorder="1" applyFont="1" applyNumberFormat="1"/>
    <xf borderId="30" fillId="2" fontId="12" numFmtId="9" xfId="0" applyBorder="1" applyFont="1" applyNumberFormat="1"/>
    <xf borderId="43" fillId="8" fontId="12" numFmtId="0" xfId="0" applyAlignment="1" applyBorder="1" applyFont="1">
      <alignment horizontal="center" textRotation="90" vertical="center"/>
    </xf>
    <xf borderId="42" fillId="2" fontId="12" numFmtId="164" xfId="0" applyAlignment="1" applyBorder="1" applyFont="1" applyNumberFormat="1">
      <alignment horizontal="center"/>
    </xf>
    <xf borderId="23" fillId="0" fontId="8" numFmtId="168" xfId="0" applyBorder="1" applyFont="1" applyNumberFormat="1"/>
    <xf borderId="44" fillId="0" fontId="5" numFmtId="0" xfId="0" applyBorder="1" applyFont="1"/>
    <xf borderId="3" fillId="0" fontId="8" numFmtId="168" xfId="0" applyBorder="1" applyFont="1" applyNumberFormat="1"/>
    <xf borderId="10" fillId="5" fontId="8" numFmtId="168" xfId="0" applyBorder="1" applyFont="1" applyNumberFormat="1"/>
    <xf borderId="10" fillId="5" fontId="12" numFmtId="168" xfId="0" applyBorder="1" applyFont="1" applyNumberFormat="1"/>
    <xf borderId="45" fillId="0" fontId="5" numFmtId="0" xfId="0" applyBorder="1" applyFont="1"/>
    <xf borderId="5" fillId="0" fontId="8" numFmtId="168" xfId="0" applyBorder="1" applyFont="1" applyNumberFormat="1"/>
    <xf borderId="28" fillId="0" fontId="8" numFmtId="168" xfId="0" applyBorder="1" applyFont="1" applyNumberFormat="1"/>
    <xf borderId="6" fillId="0" fontId="8" numFmtId="168" xfId="0" applyBorder="1" applyFont="1" applyNumberFormat="1"/>
    <xf borderId="0" fillId="0" fontId="8" numFmtId="165" xfId="0" applyAlignment="1" applyFont="1" applyNumberFormat="1">
      <alignment horizontal="center"/>
    </xf>
    <xf borderId="0" fillId="0" fontId="8" numFmtId="172" xfId="0" applyFont="1" applyNumberFormat="1"/>
    <xf borderId="0" fillId="0" fontId="10" numFmtId="172" xfId="0" applyFont="1" applyNumberFormat="1"/>
    <xf borderId="0" fillId="0" fontId="10" numFmtId="164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23" fillId="0" fontId="12" numFmtId="165" xfId="0" applyBorder="1" applyFont="1" applyNumberFormat="1"/>
    <xf borderId="24" fillId="0" fontId="12" numFmtId="165" xfId="0" applyBorder="1" applyFont="1" applyNumberFormat="1"/>
    <xf borderId="5" fillId="0" fontId="12" numFmtId="165" xfId="0" applyBorder="1" applyFont="1" applyNumberFormat="1"/>
    <xf borderId="28" fillId="0" fontId="12" numFmtId="165" xfId="0" applyBorder="1" applyFont="1" applyNumberFormat="1"/>
    <xf borderId="6" fillId="0" fontId="12" numFmtId="165" xfId="0" applyBorder="1" applyFont="1" applyNumberFormat="1"/>
    <xf borderId="10" fillId="4" fontId="9" numFmtId="165" xfId="0" applyAlignment="1" applyBorder="1" applyFont="1" applyNumberFormat="1">
      <alignment horizontal="left"/>
    </xf>
    <xf borderId="10" fillId="9" fontId="20" numFmtId="0" xfId="0" applyBorder="1" applyFill="1" applyFont="1"/>
    <xf borderId="46" fillId="0" fontId="20" numFmtId="0" xfId="0" applyBorder="1" applyFont="1"/>
    <xf borderId="47" fillId="0" fontId="20" numFmtId="0" xfId="0" applyBorder="1" applyFont="1"/>
    <xf borderId="48" fillId="0" fontId="20" numFmtId="0" xfId="0" applyBorder="1" applyFont="1"/>
    <xf borderId="49" fillId="0" fontId="20" numFmtId="0" xfId="0" applyBorder="1" applyFont="1"/>
    <xf borderId="0" fillId="0" fontId="20" numFmtId="0" xfId="0" applyFont="1"/>
    <xf borderId="50" fillId="0" fontId="20" numFmtId="0" xfId="0" applyBorder="1" applyFont="1"/>
    <xf borderId="0" fillId="0" fontId="21" numFmtId="0" xfId="0" applyAlignment="1" applyFont="1">
      <alignment horizontal="center" shrinkToFit="0" vertical="center" wrapText="1"/>
    </xf>
    <xf borderId="10" fillId="10" fontId="21" numFmtId="0" xfId="0" applyAlignment="1" applyBorder="1" applyFill="1" applyFont="1">
      <alignment horizontal="center"/>
    </xf>
    <xf borderId="0" fillId="0" fontId="21" numFmtId="0" xfId="0" applyAlignment="1" applyFont="1">
      <alignment horizontal="center"/>
    </xf>
    <xf borderId="0" fillId="0" fontId="22" numFmtId="0" xfId="0" applyFont="1"/>
    <xf borderId="0" fillId="0" fontId="23" numFmtId="0" xfId="0" applyFont="1"/>
    <xf borderId="0" fillId="0" fontId="24" numFmtId="0" xfId="0" applyFont="1"/>
    <xf borderId="0" fillId="0" fontId="25" numFmtId="0" xfId="0" applyFont="1"/>
    <xf borderId="0" fillId="0" fontId="26" numFmtId="0" xfId="0" applyAlignment="1" applyFont="1">
      <alignment shrinkToFit="0" wrapText="1"/>
    </xf>
    <xf borderId="49" fillId="0" fontId="27" numFmtId="0" xfId="0" applyAlignment="1" applyBorder="1" applyFont="1">
      <alignment shrinkToFit="0" wrapText="1"/>
    </xf>
    <xf borderId="0" fillId="0" fontId="27" numFmtId="0" xfId="0" applyAlignment="1" applyFont="1">
      <alignment shrinkToFit="0" wrapText="1"/>
    </xf>
    <xf borderId="0" fillId="0" fontId="28" numFmtId="0" xfId="0" applyAlignment="1" applyFont="1">
      <alignment shrinkToFit="0" wrapText="1"/>
    </xf>
    <xf borderId="51" fillId="0" fontId="20" numFmtId="0" xfId="0" applyBorder="1" applyFont="1"/>
    <xf borderId="52" fillId="0" fontId="20" numFmtId="0" xfId="0" applyBorder="1" applyFont="1"/>
    <xf borderId="53" fillId="0" fontId="20" numFmtId="0" xfId="0" applyBorder="1" applyFont="1"/>
    <xf borderId="10" fillId="6" fontId="8" numFmtId="172" xfId="0" applyBorder="1" applyFont="1" applyNumberFormat="1"/>
    <xf borderId="10" fillId="6" fontId="8" numFmtId="173" xfId="0" applyBorder="1" applyFont="1" applyNumberFormat="1"/>
    <xf borderId="10" fillId="6" fontId="18" numFmtId="14" xfId="0" applyBorder="1" applyFont="1" applyNumberFormat="1"/>
    <xf borderId="39" fillId="6" fontId="8" numFmtId="0" xfId="0" applyBorder="1" applyFont="1"/>
    <xf borderId="39" fillId="6" fontId="12" numFmtId="174" xfId="0" applyBorder="1" applyFont="1" applyNumberFormat="1"/>
    <xf borderId="31" fillId="0" fontId="8" numFmtId="174" xfId="0" applyBorder="1" applyFont="1" applyNumberFormat="1"/>
    <xf borderId="10" fillId="6" fontId="8" numFmtId="174" xfId="0" applyBorder="1" applyFont="1" applyNumberFormat="1"/>
    <xf borderId="0" fillId="0" fontId="8" numFmtId="174" xfId="0" applyFont="1" applyNumberFormat="1"/>
    <xf borderId="10" fillId="6" fontId="12" numFmtId="174" xfId="0" applyBorder="1" applyFont="1" applyNumberFormat="1"/>
    <xf borderId="36" fillId="7" fontId="12" numFmtId="0" xfId="0" applyBorder="1" applyFont="1"/>
    <xf borderId="38" fillId="7" fontId="12" numFmtId="0" xfId="0" applyBorder="1" applyFont="1"/>
    <xf borderId="37" fillId="7" fontId="12" numFmtId="9" xfId="0" applyBorder="1" applyFont="1" applyNumberFormat="1"/>
    <xf borderId="0" fillId="0" fontId="12" numFmtId="0" xfId="0" applyFont="1"/>
    <xf borderId="0" fillId="0" fontId="12" numFmtId="172" xfId="0" applyFont="1" applyNumberFormat="1"/>
    <xf borderId="10" fillId="5" fontId="8" numFmtId="9" xfId="0" applyBorder="1" applyFont="1" applyNumberFormat="1"/>
    <xf borderId="0" fillId="0" fontId="8" numFmtId="0" xfId="0" applyAlignment="1" applyFont="1">
      <alignment horizontal="right"/>
    </xf>
    <xf borderId="0" fillId="0" fontId="18" numFmtId="168" xfId="0" applyFont="1" applyNumberFormat="1"/>
    <xf borderId="10" fillId="5" fontId="8" numFmtId="173" xfId="0" applyBorder="1" applyFont="1" applyNumberFormat="1"/>
    <xf borderId="0" fillId="0" fontId="8" numFmtId="173" xfId="0" applyFont="1" applyNumberFormat="1"/>
    <xf borderId="0" fillId="0" fontId="29" numFmtId="0" xfId="0" applyFont="1"/>
    <xf borderId="10" fillId="3" fontId="30" numFmtId="164" xfId="0" applyBorder="1" applyFont="1" applyNumberFormat="1"/>
    <xf borderId="10" fillId="3" fontId="8" numFmtId="164" xfId="0" applyBorder="1" applyFont="1" applyNumberFormat="1"/>
    <xf borderId="10" fillId="4" fontId="9" numFmtId="164" xfId="0" applyBorder="1" applyFont="1" applyNumberFormat="1"/>
    <xf borderId="0" fillId="0" fontId="8" numFmtId="0" xfId="0" applyAlignment="1" applyFont="1">
      <alignment horizontal="left"/>
    </xf>
    <xf borderId="0" fillId="0" fontId="7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'Football Field'!$C$14:$C$17</c:f>
            </c:strRef>
          </c:cat>
          <c:val>
            <c:numRef>
              <c:f>'Football Field'!$D$14:$D$17</c:f>
              <c:numCache/>
            </c:numRef>
          </c:val>
        </c:ser>
        <c:ser>
          <c:idx val="1"/>
          <c:order val="1"/>
          <c:spPr>
            <a:solidFill>
              <a:srgbClr val="4F81BD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'Football Field'!$C$14:$C$17</c:f>
            </c:strRef>
          </c:cat>
          <c:val>
            <c:numRef>
              <c:f>'Football Field'!$E$14:$E$17</c:f>
              <c:numCache/>
            </c:numRef>
          </c:val>
        </c:ser>
        <c:overlap val="100"/>
        <c:axId val="783912583"/>
        <c:axId val="1749480065"/>
      </c:barChart>
      <c:catAx>
        <c:axId val="78391258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1749480065"/>
      </c:catAx>
      <c:valAx>
        <c:axId val="1749480065"/>
        <c:scaling>
          <c:orientation val="minMax"/>
          <c:max val="8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800">
                <a:solidFill>
                  <a:srgbClr val="000000"/>
                </a:solidFill>
                <a:latin typeface="Arial"/>
              </a:defRPr>
            </a:pPr>
          </a:p>
        </c:txPr>
        <c:crossAx val="783912583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2514600</xdr:colOff>
      <xdr:row>1</xdr:row>
      <xdr:rowOff>171450</xdr:rowOff>
    </xdr:from>
    <xdr:ext cx="5048250" cy="1838325"/>
    <xdr:pic>
      <xdr:nvPicPr>
        <xdr:cNvPr descr="mage result for Wallstreetoasis log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38100</xdr:colOff>
      <xdr:row>3</xdr:row>
      <xdr:rowOff>95250</xdr:rowOff>
    </xdr:from>
    <xdr:ext cx="4438650" cy="23431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allstreetoasis.com/user/register" TargetMode="External"/><Relationship Id="rId2" Type="http://schemas.openxmlformats.org/officeDocument/2006/relationships/hyperlink" Target="https://www.wallstreetoasis.com/finance-interview-courses-wall-street-oasis" TargetMode="External"/><Relationship Id="rId3" Type="http://schemas.openxmlformats.org/officeDocument/2006/relationships/hyperlink" Target="https://www.wallstreetoasis.com/top-frequently-asked-questions" TargetMode="External"/><Relationship Id="rId4" Type="http://schemas.openxmlformats.org/officeDocument/2006/relationships/hyperlink" Target="https://www.wallstreetoasis.com/best-resume-review-service-finance-pros-help-your-cv" TargetMode="External"/><Relationship Id="rId10" Type="http://schemas.openxmlformats.org/officeDocument/2006/relationships/drawing" Target="../drawings/drawing10.xml"/><Relationship Id="rId9" Type="http://schemas.openxmlformats.org/officeDocument/2006/relationships/hyperlink" Target="https://www.wallstreetoasis.com/the-talent-oasis" TargetMode="External"/><Relationship Id="rId5" Type="http://schemas.openxmlformats.org/officeDocument/2006/relationships/hyperlink" Target="https://www.wallstreetoasis.com/industry-reports-wall-street-oasis" TargetMode="External"/><Relationship Id="rId6" Type="http://schemas.openxmlformats.org/officeDocument/2006/relationships/hyperlink" Target="https://www.wallstreetoasis.com/wall-street-mentors-finance-mock-interviews" TargetMode="External"/><Relationship Id="rId7" Type="http://schemas.openxmlformats.org/officeDocument/2006/relationships/hyperlink" Target="https://www.eloquens.com/channel/wall-street-oasis" TargetMode="External"/><Relationship Id="rId8" Type="http://schemas.openxmlformats.org/officeDocument/2006/relationships/hyperlink" Target="https://www.wallstreetoasis.com/gmat-pill-promo-code-333-off-gmat-prep-discount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29.63"/>
    <col customWidth="1" min="3" max="26" width="7.75"/>
  </cols>
  <sheetData>
    <row r="2">
      <c r="B2" s="1" t="s">
        <v>0</v>
      </c>
      <c r="C2" s="2">
        <v>1.0</v>
      </c>
    </row>
    <row r="3">
      <c r="B3" s="3" t="s">
        <v>1</v>
      </c>
      <c r="C3" s="4">
        <v>1.0</v>
      </c>
    </row>
    <row r="4">
      <c r="B4" s="3" t="s">
        <v>2</v>
      </c>
      <c r="C4" s="4">
        <v>2.0</v>
      </c>
    </row>
    <row r="5">
      <c r="B5" s="5" t="s">
        <v>3</v>
      </c>
      <c r="C5" s="6">
        <v>3.0</v>
      </c>
    </row>
    <row r="9"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1">
      <c r="B11" s="10" t="s">
        <v>5</v>
      </c>
    </row>
    <row r="12">
      <c r="B12" s="11">
        <f>$C$2</f>
        <v>1</v>
      </c>
      <c r="D12" s="12">
        <v>2007.0</v>
      </c>
      <c r="E12" s="12">
        <f t="shared" ref="E12:R12" si="1">+D12+1</f>
        <v>2008</v>
      </c>
      <c r="F12" s="12">
        <f t="shared" si="1"/>
        <v>2009</v>
      </c>
      <c r="G12" s="12">
        <f t="shared" si="1"/>
        <v>2010</v>
      </c>
      <c r="H12" s="12">
        <f t="shared" si="1"/>
        <v>2011</v>
      </c>
      <c r="I12" s="12">
        <f t="shared" si="1"/>
        <v>2012</v>
      </c>
      <c r="J12" s="12">
        <f t="shared" si="1"/>
        <v>2013</v>
      </c>
      <c r="K12" s="12">
        <f t="shared" si="1"/>
        <v>2014</v>
      </c>
      <c r="L12" s="12">
        <f t="shared" si="1"/>
        <v>2015</v>
      </c>
      <c r="M12" s="12">
        <f t="shared" si="1"/>
        <v>2016</v>
      </c>
      <c r="N12" s="12">
        <f t="shared" si="1"/>
        <v>2017</v>
      </c>
      <c r="O12" s="12">
        <f t="shared" si="1"/>
        <v>2018</v>
      </c>
      <c r="P12" s="12">
        <f t="shared" si="1"/>
        <v>2019</v>
      </c>
      <c r="Q12" s="12">
        <f t="shared" si="1"/>
        <v>2020</v>
      </c>
      <c r="R12" s="12">
        <f t="shared" si="1"/>
        <v>2021</v>
      </c>
    </row>
    <row r="13">
      <c r="B13" s="13" t="s">
        <v>6</v>
      </c>
      <c r="D13" s="14"/>
      <c r="E13" s="14"/>
      <c r="F13" s="14"/>
      <c r="G13" s="14"/>
      <c r="H13" s="14"/>
      <c r="I13" s="14">
        <f t="shared" ref="I13:R13" si="2">CHOOSE($B12,I14,I15,I16)</f>
        <v>0.05</v>
      </c>
      <c r="J13" s="14">
        <f t="shared" si="2"/>
        <v>0.06</v>
      </c>
      <c r="K13" s="14">
        <f t="shared" si="2"/>
        <v>0.07</v>
      </c>
      <c r="L13" s="14">
        <f t="shared" si="2"/>
        <v>0.08</v>
      </c>
      <c r="M13" s="14">
        <f t="shared" si="2"/>
        <v>0.1</v>
      </c>
      <c r="N13" s="14">
        <f t="shared" si="2"/>
        <v>0.08</v>
      </c>
      <c r="O13" s="14">
        <f t="shared" si="2"/>
        <v>0.06</v>
      </c>
      <c r="P13" s="14">
        <f t="shared" si="2"/>
        <v>0.04</v>
      </c>
      <c r="Q13" s="14">
        <f t="shared" si="2"/>
        <v>0.03</v>
      </c>
      <c r="R13" s="14">
        <f t="shared" si="2"/>
        <v>0.01</v>
      </c>
    </row>
    <row r="14">
      <c r="B14" s="13" t="s">
        <v>7</v>
      </c>
      <c r="D14" s="15"/>
      <c r="E14" s="15"/>
      <c r="F14" s="15"/>
      <c r="G14" s="15"/>
      <c r="H14" s="15"/>
      <c r="I14" s="15">
        <v>0.05</v>
      </c>
      <c r="J14" s="15">
        <v>0.06</v>
      </c>
      <c r="K14" s="15">
        <v>0.07</v>
      </c>
      <c r="L14" s="15">
        <v>0.08</v>
      </c>
      <c r="M14" s="15">
        <v>0.1</v>
      </c>
      <c r="N14" s="15">
        <v>0.08</v>
      </c>
      <c r="O14" s="15">
        <v>0.06</v>
      </c>
      <c r="P14" s="15">
        <v>0.04</v>
      </c>
      <c r="Q14" s="15">
        <v>0.03</v>
      </c>
      <c r="R14" s="15">
        <v>0.01</v>
      </c>
    </row>
    <row r="15">
      <c r="B15" s="13" t="s">
        <v>8</v>
      </c>
      <c r="D15" s="15"/>
      <c r="E15" s="15"/>
      <c r="F15" s="15"/>
      <c r="G15" s="15"/>
      <c r="H15" s="15"/>
      <c r="I15" s="15">
        <v>0.02</v>
      </c>
      <c r="J15" s="15">
        <v>0.02</v>
      </c>
      <c r="K15" s="15">
        <v>0.02</v>
      </c>
      <c r="L15" s="15">
        <v>0.02</v>
      </c>
      <c r="M15" s="15">
        <v>0.02</v>
      </c>
      <c r="N15" s="15">
        <v>0.02</v>
      </c>
      <c r="O15" s="15">
        <v>0.01</v>
      </c>
      <c r="P15" s="15">
        <v>0.01</v>
      </c>
      <c r="Q15" s="15">
        <v>0.01</v>
      </c>
      <c r="R15" s="15">
        <v>0.01</v>
      </c>
    </row>
    <row r="16">
      <c r="B16" s="13" t="s">
        <v>9</v>
      </c>
      <c r="D16" s="15"/>
      <c r="E16" s="15"/>
      <c r="F16" s="15"/>
      <c r="G16" s="15"/>
      <c r="H16" s="15"/>
      <c r="I16" s="15">
        <f t="shared" ref="I16:R16" si="3">+I14+1%</f>
        <v>0.06</v>
      </c>
      <c r="J16" s="15">
        <f t="shared" si="3"/>
        <v>0.07</v>
      </c>
      <c r="K16" s="15">
        <f t="shared" si="3"/>
        <v>0.08</v>
      </c>
      <c r="L16" s="15">
        <f t="shared" si="3"/>
        <v>0.09</v>
      </c>
      <c r="M16" s="15">
        <f t="shared" si="3"/>
        <v>0.11</v>
      </c>
      <c r="N16" s="15">
        <f t="shared" si="3"/>
        <v>0.09</v>
      </c>
      <c r="O16" s="15">
        <f t="shared" si="3"/>
        <v>0.07</v>
      </c>
      <c r="P16" s="15">
        <f t="shared" si="3"/>
        <v>0.05</v>
      </c>
      <c r="Q16" s="15">
        <f t="shared" si="3"/>
        <v>0.04</v>
      </c>
      <c r="R16" s="15">
        <f t="shared" si="3"/>
        <v>0.02</v>
      </c>
    </row>
    <row r="19">
      <c r="B19" s="10" t="s">
        <v>10</v>
      </c>
    </row>
    <row r="20">
      <c r="B20" s="11">
        <f>$C$2</f>
        <v>1</v>
      </c>
      <c r="D20" s="12">
        <v>2007.0</v>
      </c>
      <c r="E20" s="12">
        <f t="shared" ref="E20:R20" si="4">+D20+1</f>
        <v>2008</v>
      </c>
      <c r="F20" s="12">
        <f t="shared" si="4"/>
        <v>2009</v>
      </c>
      <c r="G20" s="12">
        <f t="shared" si="4"/>
        <v>2010</v>
      </c>
      <c r="H20" s="12">
        <f t="shared" si="4"/>
        <v>2011</v>
      </c>
      <c r="I20" s="12">
        <f t="shared" si="4"/>
        <v>2012</v>
      </c>
      <c r="J20" s="12">
        <f t="shared" si="4"/>
        <v>2013</v>
      </c>
      <c r="K20" s="12">
        <f t="shared" si="4"/>
        <v>2014</v>
      </c>
      <c r="L20" s="12">
        <f t="shared" si="4"/>
        <v>2015</v>
      </c>
      <c r="M20" s="12">
        <f t="shared" si="4"/>
        <v>2016</v>
      </c>
      <c r="N20" s="12">
        <f t="shared" si="4"/>
        <v>2017</v>
      </c>
      <c r="O20" s="12">
        <f t="shared" si="4"/>
        <v>2018</v>
      </c>
      <c r="P20" s="12">
        <f t="shared" si="4"/>
        <v>2019</v>
      </c>
      <c r="Q20" s="12">
        <f t="shared" si="4"/>
        <v>2020</v>
      </c>
      <c r="R20" s="12">
        <f t="shared" si="4"/>
        <v>2021</v>
      </c>
    </row>
    <row r="21" ht="15.75" customHeight="1">
      <c r="B21" s="13" t="s">
        <v>6</v>
      </c>
      <c r="D21" s="14"/>
      <c r="E21" s="14"/>
      <c r="F21" s="14"/>
      <c r="G21" s="14"/>
      <c r="H21" s="14"/>
      <c r="I21" s="14">
        <f t="shared" ref="I21:R21" si="5">CHOOSE($B20,I22,I23,I24)</f>
        <v>0.04</v>
      </c>
      <c r="J21" s="14">
        <f t="shared" si="5"/>
        <v>0.05</v>
      </c>
      <c r="K21" s="14">
        <f t="shared" si="5"/>
        <v>0.06</v>
      </c>
      <c r="L21" s="14">
        <f t="shared" si="5"/>
        <v>0.07</v>
      </c>
      <c r="M21" s="14">
        <f t="shared" si="5"/>
        <v>0.08</v>
      </c>
      <c r="N21" s="14">
        <f t="shared" si="5"/>
        <v>0.07</v>
      </c>
      <c r="O21" s="14">
        <f t="shared" si="5"/>
        <v>0.06</v>
      </c>
      <c r="P21" s="14">
        <f t="shared" si="5"/>
        <v>0.05</v>
      </c>
      <c r="Q21" s="14">
        <f t="shared" si="5"/>
        <v>0.03</v>
      </c>
      <c r="R21" s="14">
        <f t="shared" si="5"/>
        <v>0.01</v>
      </c>
    </row>
    <row r="22" ht="15.75" customHeight="1">
      <c r="B22" s="13" t="s">
        <v>7</v>
      </c>
      <c r="D22" s="15"/>
      <c r="E22" s="15"/>
      <c r="F22" s="15"/>
      <c r="G22" s="15"/>
      <c r="H22" s="15"/>
      <c r="I22" s="15">
        <v>0.04</v>
      </c>
      <c r="J22" s="15">
        <v>0.05</v>
      </c>
      <c r="K22" s="15">
        <v>0.06</v>
      </c>
      <c r="L22" s="15">
        <v>0.07</v>
      </c>
      <c r="M22" s="15">
        <v>0.08</v>
      </c>
      <c r="N22" s="15">
        <v>0.07</v>
      </c>
      <c r="O22" s="15">
        <v>0.06</v>
      </c>
      <c r="P22" s="15">
        <v>0.05</v>
      </c>
      <c r="Q22" s="15">
        <v>0.03</v>
      </c>
      <c r="R22" s="15">
        <v>0.01</v>
      </c>
    </row>
    <row r="23" ht="15.75" customHeight="1">
      <c r="B23" s="13" t="s">
        <v>8</v>
      </c>
      <c r="D23" s="15"/>
      <c r="E23" s="15"/>
      <c r="F23" s="15"/>
      <c r="G23" s="15"/>
      <c r="H23" s="15"/>
      <c r="I23" s="15">
        <v>0.02</v>
      </c>
      <c r="J23" s="15">
        <v>0.02</v>
      </c>
      <c r="K23" s="15">
        <v>0.02</v>
      </c>
      <c r="L23" s="15">
        <v>0.02</v>
      </c>
      <c r="M23" s="15">
        <v>0.02</v>
      </c>
      <c r="N23" s="15">
        <v>0.02</v>
      </c>
      <c r="O23" s="15">
        <v>0.01</v>
      </c>
      <c r="P23" s="15">
        <v>0.01</v>
      </c>
      <c r="Q23" s="15">
        <v>0.01</v>
      </c>
      <c r="R23" s="15">
        <v>0.01</v>
      </c>
    </row>
    <row r="24" ht="15.75" customHeight="1">
      <c r="B24" s="13" t="s">
        <v>9</v>
      </c>
      <c r="D24" s="15"/>
      <c r="E24" s="15"/>
      <c r="F24" s="15"/>
      <c r="G24" s="15"/>
      <c r="H24" s="15"/>
      <c r="I24" s="15">
        <f t="shared" ref="I24:R24" si="6">+I22+1%</f>
        <v>0.05</v>
      </c>
      <c r="J24" s="15">
        <f t="shared" si="6"/>
        <v>0.06</v>
      </c>
      <c r="K24" s="15">
        <f t="shared" si="6"/>
        <v>0.07</v>
      </c>
      <c r="L24" s="15">
        <f t="shared" si="6"/>
        <v>0.08</v>
      </c>
      <c r="M24" s="15">
        <f t="shared" si="6"/>
        <v>0.09</v>
      </c>
      <c r="N24" s="15">
        <f t="shared" si="6"/>
        <v>0.08</v>
      </c>
      <c r="O24" s="15">
        <f t="shared" si="6"/>
        <v>0.07</v>
      </c>
      <c r="P24" s="15">
        <f t="shared" si="6"/>
        <v>0.06</v>
      </c>
      <c r="Q24" s="15">
        <f t="shared" si="6"/>
        <v>0.04</v>
      </c>
      <c r="R24" s="15">
        <f t="shared" si="6"/>
        <v>0.02</v>
      </c>
    </row>
    <row r="25" ht="15.75" customHeight="1"/>
    <row r="26" ht="15.75" customHeight="1"/>
    <row r="27" ht="15.75" customHeight="1">
      <c r="B27" s="10" t="s">
        <v>11</v>
      </c>
    </row>
    <row r="28" ht="15.75" customHeight="1">
      <c r="B28" s="11">
        <f>$C$2</f>
        <v>1</v>
      </c>
      <c r="D28" s="12">
        <v>2007.0</v>
      </c>
      <c r="E28" s="12">
        <f t="shared" ref="E28:R28" si="7">+D28+1</f>
        <v>2008</v>
      </c>
      <c r="F28" s="12">
        <f t="shared" si="7"/>
        <v>2009</v>
      </c>
      <c r="G28" s="12">
        <f t="shared" si="7"/>
        <v>2010</v>
      </c>
      <c r="H28" s="12">
        <f t="shared" si="7"/>
        <v>2011</v>
      </c>
      <c r="I28" s="12">
        <f t="shared" si="7"/>
        <v>2012</v>
      </c>
      <c r="J28" s="12">
        <f t="shared" si="7"/>
        <v>2013</v>
      </c>
      <c r="K28" s="12">
        <f t="shared" si="7"/>
        <v>2014</v>
      </c>
      <c r="L28" s="12">
        <f t="shared" si="7"/>
        <v>2015</v>
      </c>
      <c r="M28" s="12">
        <f t="shared" si="7"/>
        <v>2016</v>
      </c>
      <c r="N28" s="12">
        <f t="shared" si="7"/>
        <v>2017</v>
      </c>
      <c r="O28" s="12">
        <f t="shared" si="7"/>
        <v>2018</v>
      </c>
      <c r="P28" s="12">
        <f t="shared" si="7"/>
        <v>2019</v>
      </c>
      <c r="Q28" s="12">
        <f t="shared" si="7"/>
        <v>2020</v>
      </c>
      <c r="R28" s="12">
        <f t="shared" si="7"/>
        <v>2021</v>
      </c>
    </row>
    <row r="29" ht="15.75" customHeight="1">
      <c r="B29" s="13" t="s">
        <v>6</v>
      </c>
      <c r="D29" s="14"/>
      <c r="E29" s="14"/>
      <c r="F29" s="14"/>
      <c r="G29" s="14"/>
      <c r="H29" s="14"/>
      <c r="I29" s="14">
        <f t="shared" ref="I29:R29" si="8">CHOOSE($B28,I30,I31,I32)</f>
        <v>0.045</v>
      </c>
      <c r="J29" s="14">
        <f t="shared" si="8"/>
        <v>0.05</v>
      </c>
      <c r="K29" s="14">
        <f t="shared" si="8"/>
        <v>0.055</v>
      </c>
      <c r="L29" s="14">
        <f t="shared" si="8"/>
        <v>0.06</v>
      </c>
      <c r="M29" s="14">
        <f t="shared" si="8"/>
        <v>0.06</v>
      </c>
      <c r="N29" s="14">
        <f t="shared" si="8"/>
        <v>0.05</v>
      </c>
      <c r="O29" s="14">
        <f t="shared" si="8"/>
        <v>0.04</v>
      </c>
      <c r="P29" s="14">
        <f t="shared" si="8"/>
        <v>0.03</v>
      </c>
      <c r="Q29" s="14">
        <f t="shared" si="8"/>
        <v>0.02</v>
      </c>
      <c r="R29" s="14">
        <f t="shared" si="8"/>
        <v>0.01</v>
      </c>
    </row>
    <row r="30" ht="15.75" customHeight="1">
      <c r="B30" s="13" t="s">
        <v>7</v>
      </c>
      <c r="D30" s="15"/>
      <c r="E30" s="15"/>
      <c r="F30" s="15"/>
      <c r="G30" s="15"/>
      <c r="H30" s="15"/>
      <c r="I30" s="15">
        <v>0.045</v>
      </c>
      <c r="J30" s="15">
        <v>0.05</v>
      </c>
      <c r="K30" s="15">
        <v>0.055</v>
      </c>
      <c r="L30" s="15">
        <v>0.06</v>
      </c>
      <c r="M30" s="15">
        <v>0.06</v>
      </c>
      <c r="N30" s="15">
        <v>0.05</v>
      </c>
      <c r="O30" s="15">
        <v>0.04</v>
      </c>
      <c r="P30" s="15">
        <v>0.03</v>
      </c>
      <c r="Q30" s="15">
        <v>0.02</v>
      </c>
      <c r="R30" s="15">
        <v>0.01</v>
      </c>
    </row>
    <row r="31" ht="15.75" customHeight="1">
      <c r="B31" s="13" t="s">
        <v>8</v>
      </c>
      <c r="D31" s="15"/>
      <c r="E31" s="15"/>
      <c r="F31" s="15"/>
      <c r="G31" s="15"/>
      <c r="H31" s="15"/>
      <c r="I31" s="15">
        <v>0.02</v>
      </c>
      <c r="J31" s="15">
        <v>0.02</v>
      </c>
      <c r="K31" s="15">
        <v>0.02</v>
      </c>
      <c r="L31" s="15">
        <v>0.02</v>
      </c>
      <c r="M31" s="15">
        <v>0.02</v>
      </c>
      <c r="N31" s="15">
        <v>0.02</v>
      </c>
      <c r="O31" s="15">
        <v>0.01</v>
      </c>
      <c r="P31" s="15">
        <v>0.01</v>
      </c>
      <c r="Q31" s="15">
        <v>0.01</v>
      </c>
      <c r="R31" s="15">
        <v>0.01</v>
      </c>
    </row>
    <row r="32" ht="15.75" customHeight="1">
      <c r="B32" s="13" t="s">
        <v>9</v>
      </c>
      <c r="D32" s="15"/>
      <c r="E32" s="15"/>
      <c r="F32" s="15"/>
      <c r="G32" s="15"/>
      <c r="H32" s="15"/>
      <c r="I32" s="15">
        <f t="shared" ref="I32:R32" si="9">+I30+1%</f>
        <v>0.055</v>
      </c>
      <c r="J32" s="15">
        <f t="shared" si="9"/>
        <v>0.06</v>
      </c>
      <c r="K32" s="15">
        <f t="shared" si="9"/>
        <v>0.065</v>
      </c>
      <c r="L32" s="15">
        <f t="shared" si="9"/>
        <v>0.07</v>
      </c>
      <c r="M32" s="15">
        <f t="shared" si="9"/>
        <v>0.07</v>
      </c>
      <c r="N32" s="15">
        <f t="shared" si="9"/>
        <v>0.06</v>
      </c>
      <c r="O32" s="15">
        <f t="shared" si="9"/>
        <v>0.05</v>
      </c>
      <c r="P32" s="15">
        <f t="shared" si="9"/>
        <v>0.04</v>
      </c>
      <c r="Q32" s="15">
        <f t="shared" si="9"/>
        <v>0.03</v>
      </c>
      <c r="R32" s="15">
        <f t="shared" si="9"/>
        <v>0.02</v>
      </c>
    </row>
    <row r="33" ht="15.75" customHeight="1"/>
    <row r="34" ht="15.75" customHeight="1"/>
    <row r="35" ht="15.75" customHeight="1">
      <c r="B35" s="10" t="s">
        <v>12</v>
      </c>
    </row>
    <row r="36" ht="15.75" customHeight="1">
      <c r="B36" s="11">
        <f>$C$2</f>
        <v>1</v>
      </c>
      <c r="D36" s="12">
        <v>2007.0</v>
      </c>
      <c r="E36" s="12">
        <f t="shared" ref="E36:R36" si="10">+D36+1</f>
        <v>2008</v>
      </c>
      <c r="F36" s="12">
        <f t="shared" si="10"/>
        <v>2009</v>
      </c>
      <c r="G36" s="12">
        <f t="shared" si="10"/>
        <v>2010</v>
      </c>
      <c r="H36" s="12">
        <f t="shared" si="10"/>
        <v>2011</v>
      </c>
      <c r="I36" s="12">
        <f t="shared" si="10"/>
        <v>2012</v>
      </c>
      <c r="J36" s="12">
        <f t="shared" si="10"/>
        <v>2013</v>
      </c>
      <c r="K36" s="12">
        <f t="shared" si="10"/>
        <v>2014</v>
      </c>
      <c r="L36" s="12">
        <f t="shared" si="10"/>
        <v>2015</v>
      </c>
      <c r="M36" s="12">
        <f t="shared" si="10"/>
        <v>2016</v>
      </c>
      <c r="N36" s="12">
        <f t="shared" si="10"/>
        <v>2017</v>
      </c>
      <c r="O36" s="12">
        <f t="shared" si="10"/>
        <v>2018</v>
      </c>
      <c r="P36" s="12">
        <f t="shared" si="10"/>
        <v>2019</v>
      </c>
      <c r="Q36" s="12">
        <f t="shared" si="10"/>
        <v>2020</v>
      </c>
      <c r="R36" s="12">
        <f t="shared" si="10"/>
        <v>2021</v>
      </c>
    </row>
    <row r="37" ht="15.75" customHeight="1">
      <c r="B37" s="13" t="s">
        <v>6</v>
      </c>
      <c r="D37" s="14"/>
      <c r="E37" s="14"/>
      <c r="F37" s="14"/>
      <c r="G37" s="14"/>
      <c r="H37" s="14"/>
      <c r="I37" s="14">
        <f t="shared" ref="I37:R37" si="11">CHOOSE($B36,I38,I39,I40)</f>
        <v>0.1</v>
      </c>
      <c r="J37" s="14">
        <f t="shared" si="11"/>
        <v>0.11</v>
      </c>
      <c r="K37" s="14">
        <f t="shared" si="11"/>
        <v>0.12</v>
      </c>
      <c r="L37" s="14">
        <f t="shared" si="11"/>
        <v>0.14</v>
      </c>
      <c r="M37" s="14">
        <f t="shared" si="11"/>
        <v>0.15</v>
      </c>
      <c r="N37" s="14">
        <f t="shared" si="11"/>
        <v>0.12</v>
      </c>
      <c r="O37" s="14">
        <f t="shared" si="11"/>
        <v>0.08</v>
      </c>
      <c r="P37" s="14">
        <f t="shared" si="11"/>
        <v>0.05</v>
      </c>
      <c r="Q37" s="14">
        <f t="shared" si="11"/>
        <v>0.03</v>
      </c>
      <c r="R37" s="14">
        <f t="shared" si="11"/>
        <v>0.01</v>
      </c>
    </row>
    <row r="38" ht="15.75" customHeight="1">
      <c r="B38" s="13" t="s">
        <v>7</v>
      </c>
      <c r="D38" s="15"/>
      <c r="E38" s="15"/>
      <c r="F38" s="15"/>
      <c r="G38" s="15"/>
      <c r="H38" s="15"/>
      <c r="I38" s="15">
        <v>0.1</v>
      </c>
      <c r="J38" s="15">
        <v>0.11</v>
      </c>
      <c r="K38" s="15">
        <v>0.12</v>
      </c>
      <c r="L38" s="15">
        <v>0.14</v>
      </c>
      <c r="M38" s="15">
        <v>0.15</v>
      </c>
      <c r="N38" s="15">
        <v>0.12</v>
      </c>
      <c r="O38" s="15">
        <v>0.08</v>
      </c>
      <c r="P38" s="15">
        <v>0.05</v>
      </c>
      <c r="Q38" s="15">
        <v>0.03</v>
      </c>
      <c r="R38" s="15">
        <v>0.01</v>
      </c>
    </row>
    <row r="39" ht="15.75" customHeight="1">
      <c r="B39" s="13" t="s">
        <v>8</v>
      </c>
      <c r="D39" s="15"/>
      <c r="E39" s="15"/>
      <c r="F39" s="15"/>
      <c r="G39" s="15"/>
      <c r="H39" s="15"/>
      <c r="I39" s="15">
        <v>0.05</v>
      </c>
      <c r="J39" s="15">
        <v>0.04</v>
      </c>
      <c r="K39" s="15">
        <v>0.03</v>
      </c>
      <c r="L39" s="15">
        <v>0.02</v>
      </c>
      <c r="M39" s="15">
        <v>0.02</v>
      </c>
      <c r="N39" s="15">
        <v>0.02</v>
      </c>
      <c r="O39" s="15">
        <v>0.02</v>
      </c>
      <c r="P39" s="15">
        <v>0.02</v>
      </c>
      <c r="Q39" s="15">
        <v>0.01</v>
      </c>
      <c r="R39" s="15">
        <v>0.01</v>
      </c>
    </row>
    <row r="40" ht="15.75" customHeight="1">
      <c r="B40" s="13" t="s">
        <v>9</v>
      </c>
      <c r="D40" s="15"/>
      <c r="E40" s="15"/>
      <c r="F40" s="15"/>
      <c r="G40" s="15"/>
      <c r="H40" s="15"/>
      <c r="I40" s="15">
        <f t="shared" ref="I40:R40" si="12">+I38+1%</f>
        <v>0.11</v>
      </c>
      <c r="J40" s="15">
        <f t="shared" si="12"/>
        <v>0.12</v>
      </c>
      <c r="K40" s="15">
        <f t="shared" si="12"/>
        <v>0.13</v>
      </c>
      <c r="L40" s="15">
        <f t="shared" si="12"/>
        <v>0.15</v>
      </c>
      <c r="M40" s="15">
        <f t="shared" si="12"/>
        <v>0.16</v>
      </c>
      <c r="N40" s="15">
        <f t="shared" si="12"/>
        <v>0.13</v>
      </c>
      <c r="O40" s="15">
        <f t="shared" si="12"/>
        <v>0.09</v>
      </c>
      <c r="P40" s="15">
        <f t="shared" si="12"/>
        <v>0.06</v>
      </c>
      <c r="Q40" s="15">
        <f t="shared" si="12"/>
        <v>0.04</v>
      </c>
      <c r="R40" s="15">
        <f t="shared" si="12"/>
        <v>0.02</v>
      </c>
    </row>
    <row r="41" ht="15.75" customHeight="1"/>
    <row r="42" ht="15.75" customHeight="1"/>
    <row r="43" ht="15.75" customHeight="1">
      <c r="B43" s="10" t="s">
        <v>13</v>
      </c>
    </row>
    <row r="44" ht="15.75" customHeight="1">
      <c r="B44" s="11">
        <f>$C$2</f>
        <v>1</v>
      </c>
      <c r="D44" s="12">
        <v>2007.0</v>
      </c>
      <c r="E44" s="12">
        <f t="shared" ref="E44:R44" si="13">+D44+1</f>
        <v>2008</v>
      </c>
      <c r="F44" s="12">
        <f t="shared" si="13"/>
        <v>2009</v>
      </c>
      <c r="G44" s="12">
        <f t="shared" si="13"/>
        <v>2010</v>
      </c>
      <c r="H44" s="12">
        <f t="shared" si="13"/>
        <v>2011</v>
      </c>
      <c r="I44" s="12">
        <f t="shared" si="13"/>
        <v>2012</v>
      </c>
      <c r="J44" s="12">
        <f t="shared" si="13"/>
        <v>2013</v>
      </c>
      <c r="K44" s="12">
        <f t="shared" si="13"/>
        <v>2014</v>
      </c>
      <c r="L44" s="12">
        <f t="shared" si="13"/>
        <v>2015</v>
      </c>
      <c r="M44" s="12">
        <f t="shared" si="13"/>
        <v>2016</v>
      </c>
      <c r="N44" s="12">
        <f t="shared" si="13"/>
        <v>2017</v>
      </c>
      <c r="O44" s="12">
        <f t="shared" si="13"/>
        <v>2018</v>
      </c>
      <c r="P44" s="12">
        <f t="shared" si="13"/>
        <v>2019</v>
      </c>
      <c r="Q44" s="12">
        <f t="shared" si="13"/>
        <v>2020</v>
      </c>
      <c r="R44" s="12">
        <f t="shared" si="13"/>
        <v>2021</v>
      </c>
    </row>
    <row r="45" ht="15.75" customHeight="1">
      <c r="B45" s="13" t="s">
        <v>6</v>
      </c>
      <c r="D45" s="14"/>
      <c r="E45" s="14"/>
      <c r="F45" s="14"/>
      <c r="G45" s="14"/>
      <c r="H45" s="14"/>
      <c r="I45" s="14">
        <f t="shared" ref="I45:R45" si="14">CHOOSE($B44,I46,I47,I48)</f>
        <v>0.71</v>
      </c>
      <c r="J45" s="14">
        <f t="shared" si="14"/>
        <v>0.71</v>
      </c>
      <c r="K45" s="14">
        <f t="shared" si="14"/>
        <v>0.71</v>
      </c>
      <c r="L45" s="14">
        <f t="shared" si="14"/>
        <v>0.71</v>
      </c>
      <c r="M45" s="14">
        <f t="shared" si="14"/>
        <v>0.71</v>
      </c>
      <c r="N45" s="14">
        <f t="shared" si="14"/>
        <v>0.71</v>
      </c>
      <c r="O45" s="14">
        <f t="shared" si="14"/>
        <v>0.71</v>
      </c>
      <c r="P45" s="14">
        <f t="shared" si="14"/>
        <v>0.71</v>
      </c>
      <c r="Q45" s="14">
        <f t="shared" si="14"/>
        <v>0.71</v>
      </c>
      <c r="R45" s="14">
        <f t="shared" si="14"/>
        <v>0.71</v>
      </c>
    </row>
    <row r="46" ht="15.75" customHeight="1">
      <c r="B46" s="13" t="s">
        <v>7</v>
      </c>
      <c r="D46" s="15"/>
      <c r="E46" s="15"/>
      <c r="F46" s="15"/>
      <c r="G46" s="15"/>
      <c r="H46" s="15"/>
      <c r="I46" s="15">
        <v>0.71</v>
      </c>
      <c r="J46" s="15">
        <v>0.71</v>
      </c>
      <c r="K46" s="15">
        <v>0.71</v>
      </c>
      <c r="L46" s="15">
        <v>0.71</v>
      </c>
      <c r="M46" s="15">
        <v>0.71</v>
      </c>
      <c r="N46" s="15">
        <v>0.71</v>
      </c>
      <c r="O46" s="15">
        <v>0.71</v>
      </c>
      <c r="P46" s="15">
        <v>0.71</v>
      </c>
      <c r="Q46" s="15">
        <v>0.71</v>
      </c>
      <c r="R46" s="15">
        <v>0.71</v>
      </c>
    </row>
    <row r="47" ht="15.75" customHeight="1">
      <c r="B47" s="13" t="s">
        <v>8</v>
      </c>
      <c r="D47" s="15"/>
      <c r="E47" s="15"/>
      <c r="F47" s="15"/>
      <c r="G47" s="15"/>
      <c r="H47" s="15"/>
      <c r="I47" s="15">
        <f t="shared" ref="I47:R47" si="15">+I46+1%</f>
        <v>0.72</v>
      </c>
      <c r="J47" s="15">
        <f t="shared" si="15"/>
        <v>0.72</v>
      </c>
      <c r="K47" s="15">
        <f t="shared" si="15"/>
        <v>0.72</v>
      </c>
      <c r="L47" s="15">
        <f t="shared" si="15"/>
        <v>0.72</v>
      </c>
      <c r="M47" s="15">
        <f t="shared" si="15"/>
        <v>0.72</v>
      </c>
      <c r="N47" s="15">
        <f t="shared" si="15"/>
        <v>0.72</v>
      </c>
      <c r="O47" s="15">
        <f t="shared" si="15"/>
        <v>0.72</v>
      </c>
      <c r="P47" s="15">
        <f t="shared" si="15"/>
        <v>0.72</v>
      </c>
      <c r="Q47" s="15">
        <f t="shared" si="15"/>
        <v>0.72</v>
      </c>
      <c r="R47" s="15">
        <f t="shared" si="15"/>
        <v>0.72</v>
      </c>
    </row>
    <row r="48" ht="15.75" customHeight="1">
      <c r="B48" s="13" t="s">
        <v>9</v>
      </c>
      <c r="D48" s="15"/>
      <c r="E48" s="15"/>
      <c r="F48" s="15"/>
      <c r="G48" s="15"/>
      <c r="H48" s="15"/>
      <c r="I48" s="15">
        <f t="shared" ref="I48:R48" si="16">+I46-1%</f>
        <v>0.7</v>
      </c>
      <c r="J48" s="15">
        <f t="shared" si="16"/>
        <v>0.7</v>
      </c>
      <c r="K48" s="15">
        <f t="shared" si="16"/>
        <v>0.7</v>
      </c>
      <c r="L48" s="15">
        <f t="shared" si="16"/>
        <v>0.7</v>
      </c>
      <c r="M48" s="15">
        <f t="shared" si="16"/>
        <v>0.7</v>
      </c>
      <c r="N48" s="15">
        <f t="shared" si="16"/>
        <v>0.7</v>
      </c>
      <c r="O48" s="15">
        <f t="shared" si="16"/>
        <v>0.7</v>
      </c>
      <c r="P48" s="15">
        <f t="shared" si="16"/>
        <v>0.7</v>
      </c>
      <c r="Q48" s="15">
        <f t="shared" si="16"/>
        <v>0.7</v>
      </c>
      <c r="R48" s="15">
        <f t="shared" si="16"/>
        <v>0.7</v>
      </c>
    </row>
    <row r="49" ht="15.75" customHeight="1"/>
    <row r="50" ht="15.75" customHeight="1"/>
    <row r="51" ht="15.75" customHeight="1">
      <c r="B51" s="10" t="s">
        <v>14</v>
      </c>
    </row>
    <row r="52" ht="15.75" customHeight="1">
      <c r="B52" s="11">
        <f>$C$2</f>
        <v>1</v>
      </c>
      <c r="D52" s="12">
        <v>2007.0</v>
      </c>
      <c r="E52" s="12">
        <f t="shared" ref="E52:R52" si="17">+D52+1</f>
        <v>2008</v>
      </c>
      <c r="F52" s="12">
        <f t="shared" si="17"/>
        <v>2009</v>
      </c>
      <c r="G52" s="12">
        <f t="shared" si="17"/>
        <v>2010</v>
      </c>
      <c r="H52" s="12">
        <f t="shared" si="17"/>
        <v>2011</v>
      </c>
      <c r="I52" s="12">
        <f t="shared" si="17"/>
        <v>2012</v>
      </c>
      <c r="J52" s="12">
        <f t="shared" si="17"/>
        <v>2013</v>
      </c>
      <c r="K52" s="12">
        <f t="shared" si="17"/>
        <v>2014</v>
      </c>
      <c r="L52" s="12">
        <f t="shared" si="17"/>
        <v>2015</v>
      </c>
      <c r="M52" s="12">
        <f t="shared" si="17"/>
        <v>2016</v>
      </c>
      <c r="N52" s="12">
        <f t="shared" si="17"/>
        <v>2017</v>
      </c>
      <c r="O52" s="12">
        <f t="shared" si="17"/>
        <v>2018</v>
      </c>
      <c r="P52" s="12">
        <f t="shared" si="17"/>
        <v>2019</v>
      </c>
      <c r="Q52" s="12">
        <f t="shared" si="17"/>
        <v>2020</v>
      </c>
      <c r="R52" s="12">
        <f t="shared" si="17"/>
        <v>2021</v>
      </c>
    </row>
    <row r="53" ht="15.75" customHeight="1">
      <c r="B53" s="13" t="s">
        <v>6</v>
      </c>
      <c r="D53" s="14"/>
      <c r="E53" s="14"/>
      <c r="F53" s="14"/>
      <c r="G53" s="14"/>
      <c r="H53" s="14"/>
      <c r="I53" s="14">
        <f t="shared" ref="I53:R53" si="18">CHOOSE($B52,I54,I55,I56)</f>
        <v>0.03</v>
      </c>
      <c r="J53" s="14">
        <f t="shared" si="18"/>
        <v>0.03</v>
      </c>
      <c r="K53" s="14">
        <f t="shared" si="18"/>
        <v>0.03</v>
      </c>
      <c r="L53" s="14">
        <f t="shared" si="18"/>
        <v>0.03</v>
      </c>
      <c r="M53" s="14">
        <f t="shared" si="18"/>
        <v>0.03</v>
      </c>
      <c r="N53" s="14">
        <f t="shared" si="18"/>
        <v>0.03</v>
      </c>
      <c r="O53" s="14">
        <f t="shared" si="18"/>
        <v>0.03</v>
      </c>
      <c r="P53" s="14">
        <f t="shared" si="18"/>
        <v>0.03</v>
      </c>
      <c r="Q53" s="14">
        <f t="shared" si="18"/>
        <v>0.03</v>
      </c>
      <c r="R53" s="14">
        <f t="shared" si="18"/>
        <v>0.03</v>
      </c>
    </row>
    <row r="54" ht="15.75" customHeight="1">
      <c r="B54" s="13" t="s">
        <v>7</v>
      </c>
      <c r="D54" s="15"/>
      <c r="E54" s="15"/>
      <c r="F54" s="15"/>
      <c r="G54" s="15"/>
      <c r="H54" s="15"/>
      <c r="I54" s="15">
        <v>0.03</v>
      </c>
      <c r="J54" s="15">
        <v>0.03</v>
      </c>
      <c r="K54" s="15">
        <v>0.03</v>
      </c>
      <c r="L54" s="15">
        <v>0.03</v>
      </c>
      <c r="M54" s="15">
        <v>0.03</v>
      </c>
      <c r="N54" s="15">
        <v>0.03</v>
      </c>
      <c r="O54" s="15">
        <v>0.03</v>
      </c>
      <c r="P54" s="15">
        <v>0.03</v>
      </c>
      <c r="Q54" s="15">
        <v>0.03</v>
      </c>
      <c r="R54" s="15">
        <v>0.03</v>
      </c>
    </row>
    <row r="55" ht="15.75" customHeight="1">
      <c r="B55" s="13" t="s">
        <v>8</v>
      </c>
      <c r="D55" s="15"/>
      <c r="E55" s="15"/>
      <c r="F55" s="15"/>
      <c r="G55" s="15"/>
      <c r="H55" s="15"/>
      <c r="I55" s="15">
        <f t="shared" ref="I55:R55" si="19">+I54+0.5%</f>
        <v>0.035</v>
      </c>
      <c r="J55" s="15">
        <f t="shared" si="19"/>
        <v>0.035</v>
      </c>
      <c r="K55" s="15">
        <f t="shared" si="19"/>
        <v>0.035</v>
      </c>
      <c r="L55" s="15">
        <f t="shared" si="19"/>
        <v>0.035</v>
      </c>
      <c r="M55" s="15">
        <f t="shared" si="19"/>
        <v>0.035</v>
      </c>
      <c r="N55" s="15">
        <f t="shared" si="19"/>
        <v>0.035</v>
      </c>
      <c r="O55" s="15">
        <f t="shared" si="19"/>
        <v>0.035</v>
      </c>
      <c r="P55" s="15">
        <f t="shared" si="19"/>
        <v>0.035</v>
      </c>
      <c r="Q55" s="15">
        <f t="shared" si="19"/>
        <v>0.035</v>
      </c>
      <c r="R55" s="15">
        <f t="shared" si="19"/>
        <v>0.035</v>
      </c>
    </row>
    <row r="56" ht="15.75" customHeight="1">
      <c r="B56" s="13" t="s">
        <v>9</v>
      </c>
      <c r="D56" s="15"/>
      <c r="E56" s="15"/>
      <c r="F56" s="15"/>
      <c r="G56" s="15"/>
      <c r="H56" s="15"/>
      <c r="I56" s="15">
        <f t="shared" ref="I56:R56" si="20">I54-0.5%</f>
        <v>0.025</v>
      </c>
      <c r="J56" s="15">
        <f t="shared" si="20"/>
        <v>0.025</v>
      </c>
      <c r="K56" s="15">
        <f t="shared" si="20"/>
        <v>0.025</v>
      </c>
      <c r="L56" s="15">
        <f t="shared" si="20"/>
        <v>0.025</v>
      </c>
      <c r="M56" s="15">
        <f t="shared" si="20"/>
        <v>0.025</v>
      </c>
      <c r="N56" s="15">
        <f t="shared" si="20"/>
        <v>0.025</v>
      </c>
      <c r="O56" s="15">
        <f t="shared" si="20"/>
        <v>0.025</v>
      </c>
      <c r="P56" s="15">
        <f t="shared" si="20"/>
        <v>0.025</v>
      </c>
      <c r="Q56" s="15">
        <f t="shared" si="20"/>
        <v>0.025</v>
      </c>
      <c r="R56" s="15">
        <f t="shared" si="20"/>
        <v>0.025</v>
      </c>
    </row>
    <row r="57" ht="15.75" customHeight="1"/>
    <row r="58" ht="15.75" customHeight="1"/>
    <row r="59" ht="15.75" customHeight="1"/>
    <row r="60" ht="15.75" customHeight="1">
      <c r="B60" s="10" t="s">
        <v>15</v>
      </c>
    </row>
    <row r="61" ht="15.75" customHeight="1">
      <c r="B61" s="11">
        <f>$C$2</f>
        <v>1</v>
      </c>
      <c r="D61" s="12">
        <v>2007.0</v>
      </c>
      <c r="E61" s="12">
        <f t="shared" ref="E61:R61" si="21">+D61+1</f>
        <v>2008</v>
      </c>
      <c r="F61" s="12">
        <f t="shared" si="21"/>
        <v>2009</v>
      </c>
      <c r="G61" s="12">
        <f t="shared" si="21"/>
        <v>2010</v>
      </c>
      <c r="H61" s="12">
        <f t="shared" si="21"/>
        <v>2011</v>
      </c>
      <c r="I61" s="12">
        <f t="shared" si="21"/>
        <v>2012</v>
      </c>
      <c r="J61" s="12">
        <f t="shared" si="21"/>
        <v>2013</v>
      </c>
      <c r="K61" s="12">
        <f t="shared" si="21"/>
        <v>2014</v>
      </c>
      <c r="L61" s="12">
        <f t="shared" si="21"/>
        <v>2015</v>
      </c>
      <c r="M61" s="12">
        <f t="shared" si="21"/>
        <v>2016</v>
      </c>
      <c r="N61" s="12">
        <f t="shared" si="21"/>
        <v>2017</v>
      </c>
      <c r="O61" s="12">
        <f t="shared" si="21"/>
        <v>2018</v>
      </c>
      <c r="P61" s="12">
        <f t="shared" si="21"/>
        <v>2019</v>
      </c>
      <c r="Q61" s="12">
        <f t="shared" si="21"/>
        <v>2020</v>
      </c>
      <c r="R61" s="12">
        <f t="shared" si="21"/>
        <v>2021</v>
      </c>
    </row>
    <row r="62" ht="15.75" customHeight="1">
      <c r="B62" s="13" t="s">
        <v>6</v>
      </c>
      <c r="D62" s="14"/>
      <c r="E62" s="14"/>
      <c r="F62" s="14"/>
      <c r="G62" s="14"/>
      <c r="H62" s="14"/>
      <c r="I62" s="14">
        <f t="shared" ref="I62:R62" si="22">CHOOSE($B61,I63,I64,I65)</f>
        <v>0.12</v>
      </c>
      <c r="J62" s="14">
        <f t="shared" si="22"/>
        <v>0.12</v>
      </c>
      <c r="K62" s="14">
        <f t="shared" si="22"/>
        <v>0.12</v>
      </c>
      <c r="L62" s="14">
        <f t="shared" si="22"/>
        <v>0.12</v>
      </c>
      <c r="M62" s="14">
        <f t="shared" si="22"/>
        <v>0.12</v>
      </c>
      <c r="N62" s="14">
        <f t="shared" si="22"/>
        <v>0.12</v>
      </c>
      <c r="O62" s="14">
        <f t="shared" si="22"/>
        <v>0.12</v>
      </c>
      <c r="P62" s="14">
        <f t="shared" si="22"/>
        <v>0.12</v>
      </c>
      <c r="Q62" s="14">
        <f t="shared" si="22"/>
        <v>0.12</v>
      </c>
      <c r="R62" s="14">
        <f t="shared" si="22"/>
        <v>0.12</v>
      </c>
    </row>
    <row r="63" ht="15.75" customHeight="1">
      <c r="B63" s="13" t="s">
        <v>7</v>
      </c>
      <c r="D63" s="15"/>
      <c r="E63" s="15"/>
      <c r="F63" s="15"/>
      <c r="G63" s="15"/>
      <c r="H63" s="15"/>
      <c r="I63" s="15">
        <v>0.12</v>
      </c>
      <c r="J63" s="15">
        <v>0.12</v>
      </c>
      <c r="K63" s="15">
        <v>0.12</v>
      </c>
      <c r="L63" s="15">
        <v>0.12</v>
      </c>
      <c r="M63" s="15">
        <v>0.12</v>
      </c>
      <c r="N63" s="15">
        <v>0.12</v>
      </c>
      <c r="O63" s="15">
        <v>0.12</v>
      </c>
      <c r="P63" s="15">
        <v>0.12</v>
      </c>
      <c r="Q63" s="15">
        <v>0.12</v>
      </c>
      <c r="R63" s="15">
        <v>0.12</v>
      </c>
    </row>
    <row r="64" ht="15.75" customHeight="1">
      <c r="B64" s="13" t="s">
        <v>8</v>
      </c>
      <c r="D64" s="15"/>
      <c r="E64" s="15"/>
      <c r="F64" s="15"/>
      <c r="G64" s="15"/>
      <c r="H64" s="15"/>
      <c r="I64" s="15">
        <f t="shared" ref="I64:R64" si="23">+I63+0.5%</f>
        <v>0.125</v>
      </c>
      <c r="J64" s="15">
        <f t="shared" si="23"/>
        <v>0.125</v>
      </c>
      <c r="K64" s="15">
        <f t="shared" si="23"/>
        <v>0.125</v>
      </c>
      <c r="L64" s="15">
        <f t="shared" si="23"/>
        <v>0.125</v>
      </c>
      <c r="M64" s="15">
        <f t="shared" si="23"/>
        <v>0.125</v>
      </c>
      <c r="N64" s="15">
        <f t="shared" si="23"/>
        <v>0.125</v>
      </c>
      <c r="O64" s="15">
        <f t="shared" si="23"/>
        <v>0.125</v>
      </c>
      <c r="P64" s="15">
        <f t="shared" si="23"/>
        <v>0.125</v>
      </c>
      <c r="Q64" s="15">
        <f t="shared" si="23"/>
        <v>0.125</v>
      </c>
      <c r="R64" s="15">
        <f t="shared" si="23"/>
        <v>0.125</v>
      </c>
    </row>
    <row r="65" ht="15.75" customHeight="1">
      <c r="B65" s="13" t="s">
        <v>9</v>
      </c>
      <c r="D65" s="15"/>
      <c r="E65" s="15"/>
      <c r="F65" s="15"/>
      <c r="G65" s="15"/>
      <c r="H65" s="15"/>
      <c r="I65" s="15">
        <f t="shared" ref="I65:R65" si="24">I63-0.5%</f>
        <v>0.115</v>
      </c>
      <c r="J65" s="15">
        <f t="shared" si="24"/>
        <v>0.115</v>
      </c>
      <c r="K65" s="15">
        <f t="shared" si="24"/>
        <v>0.115</v>
      </c>
      <c r="L65" s="15">
        <f t="shared" si="24"/>
        <v>0.115</v>
      </c>
      <c r="M65" s="15">
        <f t="shared" si="24"/>
        <v>0.115</v>
      </c>
      <c r="N65" s="15">
        <f t="shared" si="24"/>
        <v>0.115</v>
      </c>
      <c r="O65" s="15">
        <f t="shared" si="24"/>
        <v>0.115</v>
      </c>
      <c r="P65" s="15">
        <f t="shared" si="24"/>
        <v>0.115</v>
      </c>
      <c r="Q65" s="15">
        <f t="shared" si="24"/>
        <v>0.115</v>
      </c>
      <c r="R65" s="15">
        <f t="shared" si="24"/>
        <v>0.115</v>
      </c>
    </row>
    <row r="66" ht="15.75" customHeight="1"/>
    <row r="67" ht="15.75" customHeight="1"/>
    <row r="68" ht="15.75" customHeight="1">
      <c r="B68" s="10" t="s">
        <v>16</v>
      </c>
    </row>
    <row r="69" ht="15.75" customHeight="1">
      <c r="B69" s="11">
        <f>$C$2</f>
        <v>1</v>
      </c>
      <c r="D69" s="12">
        <v>2007.0</v>
      </c>
      <c r="E69" s="12">
        <f t="shared" ref="E69:R69" si="25">+D69+1</f>
        <v>2008</v>
      </c>
      <c r="F69" s="12">
        <f t="shared" si="25"/>
        <v>2009</v>
      </c>
      <c r="G69" s="12">
        <f t="shared" si="25"/>
        <v>2010</v>
      </c>
      <c r="H69" s="12">
        <f t="shared" si="25"/>
        <v>2011</v>
      </c>
      <c r="I69" s="12">
        <f t="shared" si="25"/>
        <v>2012</v>
      </c>
      <c r="J69" s="12">
        <f t="shared" si="25"/>
        <v>2013</v>
      </c>
      <c r="K69" s="12">
        <f t="shared" si="25"/>
        <v>2014</v>
      </c>
      <c r="L69" s="12">
        <f t="shared" si="25"/>
        <v>2015</v>
      </c>
      <c r="M69" s="12">
        <f t="shared" si="25"/>
        <v>2016</v>
      </c>
      <c r="N69" s="12">
        <f t="shared" si="25"/>
        <v>2017</v>
      </c>
      <c r="O69" s="12">
        <f t="shared" si="25"/>
        <v>2018</v>
      </c>
      <c r="P69" s="12">
        <f t="shared" si="25"/>
        <v>2019</v>
      </c>
      <c r="Q69" s="12">
        <f t="shared" si="25"/>
        <v>2020</v>
      </c>
      <c r="R69" s="12">
        <f t="shared" si="25"/>
        <v>2021</v>
      </c>
    </row>
    <row r="70" ht="15.75" customHeight="1">
      <c r="B70" s="13" t="s">
        <v>6</v>
      </c>
      <c r="D70" s="14"/>
      <c r="E70" s="14"/>
      <c r="F70" s="14"/>
      <c r="G70" s="14"/>
      <c r="H70" s="14"/>
      <c r="I70" s="14">
        <f t="shared" ref="I70:R70" si="26">CHOOSE($B69,I71,I72,I73)</f>
        <v>0.02</v>
      </c>
      <c r="J70" s="14">
        <f t="shared" si="26"/>
        <v>0.02</v>
      </c>
      <c r="K70" s="14">
        <f t="shared" si="26"/>
        <v>0.02</v>
      </c>
      <c r="L70" s="14">
        <f t="shared" si="26"/>
        <v>0.02</v>
      </c>
      <c r="M70" s="14">
        <f t="shared" si="26"/>
        <v>0.02</v>
      </c>
      <c r="N70" s="14">
        <f t="shared" si="26"/>
        <v>0.01</v>
      </c>
      <c r="O70" s="14">
        <f t="shared" si="26"/>
        <v>0.01</v>
      </c>
      <c r="P70" s="14">
        <f t="shared" si="26"/>
        <v>0.01</v>
      </c>
      <c r="Q70" s="14">
        <f t="shared" si="26"/>
        <v>0.01</v>
      </c>
      <c r="R70" s="14">
        <f t="shared" si="26"/>
        <v>0.01</v>
      </c>
    </row>
    <row r="71" ht="15.75" customHeight="1">
      <c r="B71" s="13" t="s">
        <v>7</v>
      </c>
      <c r="D71" s="15"/>
      <c r="E71" s="15"/>
      <c r="F71" s="15"/>
      <c r="G71" s="15"/>
      <c r="H71" s="15"/>
      <c r="I71" s="15">
        <v>0.02</v>
      </c>
      <c r="J71" s="15">
        <v>0.02</v>
      </c>
      <c r="K71" s="15">
        <v>0.02</v>
      </c>
      <c r="L71" s="15">
        <v>0.02</v>
      </c>
      <c r="M71" s="15">
        <v>0.02</v>
      </c>
      <c r="N71" s="15">
        <v>0.01</v>
      </c>
      <c r="O71" s="15">
        <v>0.01</v>
      </c>
      <c r="P71" s="15">
        <v>0.01</v>
      </c>
      <c r="Q71" s="15">
        <v>0.01</v>
      </c>
      <c r="R71" s="15">
        <v>0.01</v>
      </c>
    </row>
    <row r="72" ht="15.75" customHeight="1">
      <c r="B72" s="13" t="s">
        <v>8</v>
      </c>
      <c r="D72" s="15"/>
      <c r="E72" s="15"/>
      <c r="F72" s="15"/>
      <c r="G72" s="15"/>
      <c r="H72" s="15"/>
      <c r="I72" s="15">
        <v>0.01</v>
      </c>
      <c r="J72" s="15">
        <v>0.01</v>
      </c>
      <c r="K72" s="15">
        <v>0.01</v>
      </c>
      <c r="L72" s="15">
        <v>0.01</v>
      </c>
      <c r="M72" s="15">
        <v>0.01</v>
      </c>
      <c r="N72" s="15">
        <v>0.01</v>
      </c>
      <c r="O72" s="15">
        <v>0.01</v>
      </c>
      <c r="P72" s="15">
        <v>0.01</v>
      </c>
      <c r="Q72" s="15">
        <v>0.01</v>
      </c>
      <c r="R72" s="15">
        <v>0.01</v>
      </c>
    </row>
    <row r="73" ht="15.75" customHeight="1">
      <c r="B73" s="13" t="s">
        <v>9</v>
      </c>
      <c r="D73" s="15"/>
      <c r="E73" s="15"/>
      <c r="F73" s="15"/>
      <c r="G73" s="15"/>
      <c r="H73" s="15"/>
      <c r="I73" s="15">
        <v>0.03</v>
      </c>
      <c r="J73" s="15">
        <v>0.03</v>
      </c>
      <c r="K73" s="15">
        <v>0.03</v>
      </c>
      <c r="L73" s="15">
        <v>0.02</v>
      </c>
      <c r="M73" s="15">
        <v>0.02</v>
      </c>
      <c r="N73" s="15">
        <v>0.01</v>
      </c>
      <c r="O73" s="15">
        <v>0.01</v>
      </c>
      <c r="P73" s="15">
        <v>0.01</v>
      </c>
      <c r="Q73" s="15">
        <v>0.01</v>
      </c>
      <c r="R73" s="15">
        <v>0.01</v>
      </c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9:R9"/>
  </mergeCells>
  <printOptions/>
  <pageMargins bottom="1.0" footer="0.0" header="0.0" left="0.75" right="0.75" top="1.0"/>
  <pageSetup scale="4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75"/>
    <col customWidth="1" min="2" max="3" width="2.88"/>
    <col customWidth="1" min="4" max="4" width="63.0"/>
    <col customWidth="1" min="5" max="5" width="1.0"/>
    <col customWidth="1" min="6" max="6" width="58.88"/>
    <col customWidth="1" min="7" max="8" width="2.75"/>
    <col customWidth="1" min="9" max="26" width="9.38"/>
  </cols>
  <sheetData>
    <row r="1" ht="15.75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ht="15.75" customHeight="1">
      <c r="A2" s="173"/>
      <c r="B2" s="174"/>
      <c r="C2" s="175"/>
      <c r="D2" s="175"/>
      <c r="E2" s="175"/>
      <c r="F2" s="175"/>
      <c r="G2" s="175"/>
      <c r="H2" s="176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ht="15.75" customHeight="1">
      <c r="A3" s="173"/>
      <c r="B3" s="177"/>
      <c r="C3" s="178"/>
      <c r="D3" s="178"/>
      <c r="E3" s="178"/>
      <c r="F3" s="178"/>
      <c r="G3" s="178"/>
      <c r="H3" s="179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ht="15.75" customHeight="1">
      <c r="A4" s="173"/>
      <c r="B4" s="177"/>
      <c r="C4" s="178"/>
      <c r="D4" s="178"/>
      <c r="E4" s="178"/>
      <c r="F4" s="178"/>
      <c r="G4" s="178"/>
      <c r="H4" s="179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ht="15.75" customHeight="1">
      <c r="A5" s="173"/>
      <c r="B5" s="177"/>
      <c r="C5" s="178"/>
      <c r="D5" s="178"/>
      <c r="E5" s="178"/>
      <c r="F5" s="178"/>
      <c r="G5" s="178"/>
      <c r="H5" s="179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ht="15.75" customHeight="1">
      <c r="A6" s="173"/>
      <c r="B6" s="177"/>
      <c r="C6" s="178"/>
      <c r="D6" s="178"/>
      <c r="E6" s="178"/>
      <c r="F6" s="178"/>
      <c r="G6" s="178"/>
      <c r="H6" s="179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ht="15.75" customHeight="1">
      <c r="A7" s="173"/>
      <c r="B7" s="177"/>
      <c r="C7" s="178"/>
      <c r="D7" s="178"/>
      <c r="E7" s="178"/>
      <c r="F7" s="178"/>
      <c r="G7" s="178"/>
      <c r="H7" s="179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ht="15.75" customHeight="1">
      <c r="A8" s="173"/>
      <c r="B8" s="177"/>
      <c r="C8" s="178"/>
      <c r="D8" s="178"/>
      <c r="E8" s="178"/>
      <c r="F8" s="178"/>
      <c r="G8" s="178"/>
      <c r="H8" s="179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ht="15.75" customHeight="1">
      <c r="A9" s="173"/>
      <c r="B9" s="177"/>
      <c r="C9" s="178"/>
      <c r="D9" s="178"/>
      <c r="E9" s="178"/>
      <c r="F9" s="178"/>
      <c r="G9" s="178"/>
      <c r="H9" s="179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ht="15.75" customHeight="1">
      <c r="A10" s="173"/>
      <c r="B10" s="177"/>
      <c r="C10" s="178"/>
      <c r="D10" s="178"/>
      <c r="E10" s="178"/>
      <c r="F10" s="178"/>
      <c r="G10" s="178"/>
      <c r="H10" s="179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ht="15.75" customHeight="1">
      <c r="A11" s="173"/>
      <c r="B11" s="177"/>
      <c r="C11" s="178"/>
      <c r="D11" s="178"/>
      <c r="E11" s="178"/>
      <c r="F11" s="178"/>
      <c r="G11" s="178"/>
      <c r="H11" s="179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ht="15.75" customHeight="1">
      <c r="A12" s="173"/>
      <c r="B12" s="177"/>
      <c r="C12" s="178"/>
      <c r="D12" s="178"/>
      <c r="E12" s="178"/>
      <c r="F12" s="178"/>
      <c r="G12" s="178"/>
      <c r="H12" s="179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ht="70.5" customHeight="1">
      <c r="A13" s="173"/>
      <c r="B13" s="177"/>
      <c r="C13" s="178"/>
      <c r="D13" s="180" t="s">
        <v>164</v>
      </c>
      <c r="G13" s="178"/>
      <c r="H13" s="179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ht="15.75" customHeight="1">
      <c r="A14" s="173"/>
      <c r="B14" s="177"/>
      <c r="C14" s="178"/>
      <c r="D14" s="180"/>
      <c r="E14" s="180"/>
      <c r="F14" s="180"/>
      <c r="G14" s="178"/>
      <c r="H14" s="179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ht="15.75" customHeight="1">
      <c r="A15" s="173"/>
      <c r="B15" s="177"/>
      <c r="C15" s="178"/>
      <c r="D15" s="181" t="s">
        <v>165</v>
      </c>
      <c r="E15" s="182"/>
      <c r="F15" s="181" t="s">
        <v>166</v>
      </c>
      <c r="G15" s="178"/>
      <c r="H15" s="179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ht="4.5" customHeight="1">
      <c r="A16" s="173"/>
      <c r="B16" s="177"/>
      <c r="C16" s="178"/>
      <c r="D16" s="183"/>
      <c r="E16" s="183"/>
      <c r="F16" s="184"/>
      <c r="G16" s="178"/>
      <c r="H16" s="179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ht="15.75" customHeight="1">
      <c r="A17" s="173"/>
      <c r="B17" s="177"/>
      <c r="C17" s="178"/>
      <c r="D17" s="185" t="s">
        <v>167</v>
      </c>
      <c r="E17" s="186"/>
      <c r="F17" s="185" t="s">
        <v>168</v>
      </c>
      <c r="G17" s="178"/>
      <c r="H17" s="179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ht="15.75" customHeight="1">
      <c r="A18" s="173"/>
      <c r="B18" s="177"/>
      <c r="C18" s="178"/>
      <c r="D18" s="185" t="s">
        <v>169</v>
      </c>
      <c r="E18" s="186"/>
      <c r="F18" s="185" t="s">
        <v>170</v>
      </c>
      <c r="G18" s="178"/>
      <c r="H18" s="179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ht="15.75" customHeight="1">
      <c r="A19" s="173"/>
      <c r="B19" s="177"/>
      <c r="C19" s="178"/>
      <c r="D19" s="185" t="s">
        <v>171</v>
      </c>
      <c r="E19" s="186"/>
      <c r="F19" s="185" t="s">
        <v>172</v>
      </c>
      <c r="G19" s="178"/>
      <c r="H19" s="179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</row>
    <row r="20" ht="15.75" customHeight="1">
      <c r="A20" s="173"/>
      <c r="B20" s="177"/>
      <c r="C20" s="178"/>
      <c r="D20" s="185" t="s">
        <v>173</v>
      </c>
      <c r="E20" s="186"/>
      <c r="F20" s="185" t="s">
        <v>174</v>
      </c>
      <c r="G20" s="178"/>
      <c r="H20" s="179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ht="15.75" customHeight="1">
      <c r="A21" s="173"/>
      <c r="B21" s="177"/>
      <c r="C21" s="178"/>
      <c r="D21" s="185" t="s">
        <v>175</v>
      </c>
      <c r="E21" s="186"/>
      <c r="F21" s="187"/>
      <c r="G21" s="178"/>
      <c r="H21" s="179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ht="15.75" customHeight="1">
      <c r="A22" s="173"/>
      <c r="B22" s="188"/>
      <c r="C22" s="189"/>
      <c r="D22" s="183"/>
      <c r="E22" s="183"/>
      <c r="F22" s="190"/>
      <c r="G22" s="178"/>
      <c r="H22" s="179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ht="15.75" customHeight="1">
      <c r="A23" s="173"/>
      <c r="B23" s="188"/>
      <c r="C23" s="189"/>
      <c r="D23" s="183"/>
      <c r="E23" s="183"/>
      <c r="F23" s="190"/>
      <c r="G23" s="178"/>
      <c r="H23" s="179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ht="15.75" customHeight="1">
      <c r="A24" s="173"/>
      <c r="B24" s="177"/>
      <c r="C24" s="178"/>
      <c r="D24" s="183"/>
      <c r="E24" s="183"/>
      <c r="F24" s="184"/>
      <c r="G24" s="178"/>
      <c r="H24" s="179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ht="15.75" customHeight="1">
      <c r="A25" s="173"/>
      <c r="B25" s="177"/>
      <c r="C25" s="178"/>
      <c r="D25" s="183"/>
      <c r="E25" s="183"/>
      <c r="F25" s="184"/>
      <c r="G25" s="178"/>
      <c r="H25" s="179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ht="15.75" customHeight="1">
      <c r="A26" s="173"/>
      <c r="B26" s="177"/>
      <c r="C26" s="178"/>
      <c r="D26" s="178"/>
      <c r="E26" s="178"/>
      <c r="F26" s="178"/>
      <c r="G26" s="178"/>
      <c r="H26" s="179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ht="15.75" customHeight="1">
      <c r="A27" s="173"/>
      <c r="B27" s="191"/>
      <c r="C27" s="192"/>
      <c r="D27" s="192"/>
      <c r="E27" s="192"/>
      <c r="F27" s="192"/>
      <c r="G27" s="192"/>
      <c r="H27" s="19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ht="15.7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ht="15.7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ht="15.75" customHeight="1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</row>
    <row r="31" ht="15.75" customHeight="1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ht="15.7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</row>
    <row r="33" ht="15.75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</row>
    <row r="34" ht="15.75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</row>
    <row r="35" ht="15.75" customHeight="1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ht="15.75" customHeight="1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</row>
    <row r="37" ht="15.75" customHeight="1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ht="15.75" customHeight="1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ht="15.75" customHeight="1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ht="15.75" customHeight="1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ht="15.75" customHeight="1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ht="15.75" customHeigh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ht="15.7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ht="15.75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ht="15.75" customHeight="1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ht="15.75" customHeight="1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ht="15.75" customHeight="1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ht="15.75" customHeight="1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ht="15.75" customHeight="1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ht="15.75" customHeight="1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ht="15.75" customHeight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ht="15.75" customHeight="1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ht="15.75" customHeight="1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ht="15.75" customHeight="1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ht="15.75" customHeight="1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ht="15.75" customHeight="1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ht="15.75" customHeight="1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ht="15.75" customHeight="1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ht="15.75" customHeight="1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ht="15.7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  <row r="61" ht="15.75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</row>
    <row r="62" ht="15.75" customHeight="1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</row>
    <row r="63" ht="15.75" customHeight="1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</row>
    <row r="64" ht="15.75" customHeight="1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</row>
    <row r="65" ht="15.75" customHeight="1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</row>
    <row r="66" ht="15.75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ht="15.75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ht="15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</row>
    <row r="69" ht="15.75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</row>
    <row r="70" ht="15.7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</row>
    <row r="71" ht="15.7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</row>
    <row r="72" ht="15.75" customHeight="1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</row>
    <row r="73" ht="15.75" customHeight="1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ht="15.7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</row>
    <row r="75" ht="15.75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ht="15.7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ht="15.75" customHeight="1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</row>
    <row r="78" ht="15.75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</row>
    <row r="79" ht="15.75" customHeight="1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</row>
    <row r="80" ht="15.75" customHeight="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ht="15.75" customHeight="1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ht="15.75" customHeight="1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ht="15.75" customHeight="1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</row>
    <row r="84" ht="15.75" customHeight="1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</row>
    <row r="85" ht="15.75" customHeight="1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</row>
    <row r="86" ht="15.75" customHeight="1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ht="15.75" customHeight="1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</row>
    <row r="88" ht="15.75" customHeight="1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</row>
    <row r="89" ht="15.75" customHeight="1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</row>
    <row r="90" ht="15.7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</row>
    <row r="91" ht="15.75" customHeight="1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</row>
    <row r="92" ht="15.75" customHeight="1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</row>
    <row r="93" ht="15.75" customHeight="1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</row>
    <row r="94" ht="15.75" customHeight="1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</row>
    <row r="95" ht="15.75" customHeight="1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</row>
    <row r="96" ht="15.75" customHeight="1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</row>
    <row r="97" ht="15.75" customHeight="1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</row>
    <row r="98" ht="15.75" customHeight="1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</row>
    <row r="99" ht="15.75" customHeight="1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</row>
    <row r="100" ht="15.75" customHeight="1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</row>
    <row r="101" ht="15.75" customHeight="1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</row>
    <row r="102" ht="15.75" customHeight="1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</row>
    <row r="103" ht="15.75" customHeight="1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</row>
    <row r="104" ht="15.75" customHeight="1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</row>
    <row r="105" ht="15.7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</row>
    <row r="106" ht="15.75" customHeight="1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</row>
    <row r="107" ht="15.7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</row>
    <row r="108" ht="15.75" customHeight="1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</row>
    <row r="109" ht="15.75" customHeight="1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</row>
    <row r="110" ht="15.7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</row>
    <row r="111" ht="15.75" customHeight="1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</row>
    <row r="112" ht="15.75" customHeight="1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</row>
    <row r="113" ht="15.75" customHeight="1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</row>
    <row r="114" ht="15.75" customHeight="1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</row>
    <row r="115" ht="15.75" customHeight="1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</row>
    <row r="116" ht="15.75" customHeight="1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</row>
    <row r="117" ht="15.75" customHeight="1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</row>
    <row r="118" ht="15.75" customHeight="1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</row>
    <row r="119" ht="15.75" customHeight="1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</row>
    <row r="120" ht="15.75" customHeight="1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</row>
    <row r="121" ht="15.75" customHeight="1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</row>
    <row r="122" ht="15.75" customHeight="1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</row>
    <row r="123" ht="15.75" customHeight="1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</row>
    <row r="124" ht="15.75" customHeight="1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</row>
    <row r="125" ht="15.75" customHeight="1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</row>
    <row r="126" ht="15.75" customHeight="1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</row>
    <row r="127" ht="15.75" customHeight="1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</row>
    <row r="128" ht="15.75" customHeight="1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</row>
    <row r="129" ht="15.75" customHeight="1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</row>
    <row r="130" ht="15.75" customHeight="1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</row>
    <row r="131" ht="15.75" customHeight="1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</row>
    <row r="132" ht="15.75" customHeight="1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</row>
    <row r="133" ht="15.75" customHeight="1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</row>
    <row r="134" ht="15.75" customHeight="1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</row>
    <row r="135" ht="15.75" customHeight="1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</row>
    <row r="136" ht="15.75" customHeight="1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</row>
    <row r="137" ht="15.75" customHeight="1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</row>
    <row r="138" ht="15.75" customHeight="1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</row>
    <row r="139" ht="15.75" customHeight="1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</row>
    <row r="140" ht="15.75" customHeight="1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</row>
    <row r="141" ht="15.75" customHeight="1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</row>
    <row r="142" ht="15.75" customHeight="1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</row>
    <row r="143" ht="15.75" customHeight="1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</row>
    <row r="144" ht="15.75" customHeight="1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</row>
    <row r="145" ht="15.75" customHeight="1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</row>
    <row r="146" ht="15.75" customHeight="1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</row>
    <row r="147" ht="15.75" customHeight="1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</row>
    <row r="148" ht="15.75" customHeight="1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</row>
    <row r="149" ht="15.75" customHeight="1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</row>
    <row r="150" ht="15.75" customHeight="1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</row>
    <row r="151" ht="15.75" customHeight="1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</row>
    <row r="152" ht="15.75" customHeight="1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</row>
    <row r="153" ht="15.75" customHeight="1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</row>
    <row r="154" ht="15.75" customHeight="1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</row>
    <row r="155" ht="15.75" customHeight="1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</row>
    <row r="156" ht="15.75" customHeight="1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</row>
    <row r="157" ht="15.75" customHeight="1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</row>
    <row r="158" ht="15.75" customHeight="1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</row>
    <row r="159" ht="15.75" customHeight="1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</row>
    <row r="160" ht="15.75" customHeight="1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</row>
    <row r="161" ht="15.75" customHeight="1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</row>
    <row r="162" ht="15.75" customHeight="1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</row>
    <row r="163" ht="15.75" customHeight="1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</row>
    <row r="164" ht="15.75" customHeight="1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</row>
    <row r="165" ht="15.75" customHeight="1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</row>
    <row r="166" ht="15.75" customHeight="1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</row>
    <row r="167" ht="15.75" customHeight="1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</row>
    <row r="168" ht="15.75" customHeight="1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</row>
    <row r="169" ht="15.75" customHeight="1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</row>
    <row r="170" ht="15.75" customHeight="1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</row>
    <row r="171" ht="15.75" customHeight="1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</row>
    <row r="172" ht="15.75" customHeight="1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</row>
    <row r="173" ht="15.75" customHeight="1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</row>
    <row r="174" ht="15.75" customHeight="1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</row>
    <row r="175" ht="15.75" customHeight="1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</row>
    <row r="176" ht="15.75" customHeight="1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</row>
    <row r="177" ht="15.75" customHeight="1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</row>
    <row r="178" ht="15.75" customHeight="1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</row>
    <row r="179" ht="15.75" customHeight="1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</row>
    <row r="180" ht="15.75" customHeight="1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</row>
    <row r="181" ht="15.75" customHeight="1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</row>
    <row r="182" ht="15.75" customHeight="1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</row>
    <row r="183" ht="15.75" customHeight="1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</row>
    <row r="184" ht="15.75" customHeight="1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</row>
    <row r="185" ht="15.75" customHeight="1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</row>
    <row r="186" ht="15.75" customHeight="1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</row>
    <row r="187" ht="15.75" customHeight="1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</row>
    <row r="188" ht="15.75" customHeight="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</row>
    <row r="189" ht="15.75" customHeight="1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</row>
    <row r="190" ht="15.75" customHeight="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</row>
    <row r="191" ht="15.75" customHeight="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</row>
    <row r="192" ht="15.75" customHeight="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</row>
    <row r="193" ht="15.75" customHeight="1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</row>
    <row r="194" ht="15.75" customHeight="1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</row>
    <row r="195" ht="15.75" customHeight="1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</row>
    <row r="196" ht="15.75" customHeight="1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</row>
    <row r="197" ht="15.75" customHeight="1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</row>
    <row r="198" ht="15.75" customHeight="1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</row>
    <row r="199" ht="15.75" customHeight="1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</row>
    <row r="200" ht="15.75" customHeight="1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</row>
    <row r="201" ht="15.75" customHeight="1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</row>
    <row r="202" ht="15.75" customHeight="1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</row>
    <row r="203" ht="15.75" customHeight="1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</row>
    <row r="204" ht="15.75" customHeight="1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</row>
    <row r="205" ht="15.75" customHeight="1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</row>
    <row r="206" ht="15.75" customHeight="1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</row>
    <row r="207" ht="15.75" customHeight="1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</row>
    <row r="208" ht="15.75" customHeight="1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</row>
    <row r="209" ht="15.75" customHeight="1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</row>
    <row r="210" ht="15.75" customHeight="1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</row>
    <row r="211" ht="15.75" customHeight="1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</row>
    <row r="212" ht="15.75" customHeight="1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</row>
    <row r="213" ht="15.75" customHeight="1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</row>
    <row r="214" ht="15.75" customHeight="1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</row>
    <row r="215" ht="15.75" customHeight="1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</row>
    <row r="216" ht="15.75" customHeight="1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</row>
    <row r="217" ht="15.75" customHeight="1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</row>
    <row r="218" ht="15.75" customHeight="1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</row>
    <row r="219" ht="15.75" customHeight="1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</row>
    <row r="220" ht="15.75" customHeight="1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</row>
    <row r="221" ht="15.75" customHeight="1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</row>
    <row r="222" ht="15.75" customHeight="1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</row>
    <row r="223" ht="15.75" customHeight="1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</row>
    <row r="224" ht="15.75" customHeight="1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</row>
    <row r="225" ht="15.75" customHeight="1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</row>
    <row r="226" ht="15.75" customHeight="1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</row>
    <row r="227" ht="15.75" customHeight="1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</row>
    <row r="228" ht="15.75" customHeight="1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</row>
    <row r="229" ht="15.75" customHeight="1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</row>
    <row r="230" ht="15.75" customHeight="1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</row>
    <row r="231" ht="15.75" customHeight="1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</row>
    <row r="232" ht="15.75" customHeight="1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</row>
    <row r="233" ht="15.75" customHeight="1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</row>
    <row r="234" ht="15.75" customHeight="1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</row>
    <row r="235" ht="15.75" customHeight="1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</row>
    <row r="236" ht="15.75" customHeight="1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</row>
    <row r="237" ht="15.75" customHeight="1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</row>
    <row r="238" ht="15.75" customHeight="1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</row>
    <row r="239" ht="15.75" customHeight="1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</row>
    <row r="240" ht="15.75" customHeight="1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</row>
    <row r="241" ht="15.75" customHeight="1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</row>
    <row r="242" ht="15.75" customHeight="1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</row>
    <row r="243" ht="15.75" customHeight="1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</row>
    <row r="244" ht="15.75" customHeight="1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</row>
    <row r="245" ht="15.75" customHeight="1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</row>
    <row r="246" ht="15.75" customHeight="1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</row>
    <row r="247" ht="15.75" customHeight="1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</row>
    <row r="248" ht="15.75" customHeight="1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</row>
    <row r="249" ht="15.75" customHeight="1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</row>
    <row r="250" ht="15.75" customHeight="1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</row>
    <row r="251" ht="15.75" customHeight="1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</row>
    <row r="252" ht="15.75" customHeight="1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</row>
    <row r="253" ht="15.75" customHeight="1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</row>
    <row r="254" ht="15.75" customHeight="1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</row>
    <row r="255" ht="15.75" customHeight="1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</row>
    <row r="256" ht="15.75" customHeight="1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</row>
    <row r="257" ht="15.75" customHeight="1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</row>
    <row r="258" ht="15.75" customHeight="1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</row>
    <row r="259" ht="15.75" customHeight="1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</row>
    <row r="260" ht="15.75" customHeight="1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</row>
    <row r="261" ht="15.75" customHeight="1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</row>
    <row r="262" ht="15.75" customHeight="1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</row>
    <row r="263" ht="15.75" customHeight="1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</row>
    <row r="264" ht="15.75" customHeight="1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</row>
    <row r="265" ht="15.75" customHeight="1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</row>
    <row r="266" ht="15.75" customHeight="1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</row>
    <row r="267" ht="15.75" customHeight="1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</row>
    <row r="268" ht="15.75" customHeight="1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</row>
    <row r="269" ht="15.75" customHeight="1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</row>
    <row r="270" ht="15.75" customHeight="1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</row>
    <row r="271" ht="15.75" customHeight="1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</row>
    <row r="272" ht="15.75" customHeight="1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</row>
    <row r="273" ht="15.75" customHeight="1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</row>
    <row r="274" ht="15.75" customHeight="1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</row>
    <row r="275" ht="15.75" customHeight="1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</row>
    <row r="276" ht="15.75" customHeight="1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</row>
    <row r="277" ht="15.75" customHeight="1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</row>
    <row r="278" ht="15.75" customHeight="1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</row>
    <row r="279" ht="15.75" customHeight="1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</row>
    <row r="280" ht="15.75" customHeight="1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</row>
    <row r="281" ht="15.75" customHeight="1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</row>
    <row r="282" ht="15.75" customHeight="1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</row>
    <row r="283" ht="15.75" customHeight="1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</row>
    <row r="284" ht="15.75" customHeight="1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</row>
    <row r="285" ht="15.75" customHeight="1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</row>
    <row r="286" ht="15.75" customHeight="1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</row>
    <row r="287" ht="15.75" customHeight="1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</row>
    <row r="288" ht="15.75" customHeight="1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</row>
    <row r="289" ht="15.75" customHeight="1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</row>
    <row r="290" ht="15.75" customHeight="1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</row>
    <row r="291" ht="15.75" customHeight="1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</row>
    <row r="292" ht="15.75" customHeight="1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</row>
    <row r="293" ht="15.75" customHeight="1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</row>
    <row r="294" ht="15.75" customHeight="1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</row>
    <row r="295" ht="15.75" customHeight="1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</row>
    <row r="296" ht="15.75" customHeight="1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</row>
    <row r="297" ht="15.75" customHeight="1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</row>
    <row r="298" ht="15.75" customHeight="1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</row>
    <row r="299" ht="15.75" customHeight="1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</row>
    <row r="300" ht="15.75" customHeight="1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</row>
    <row r="301" ht="15.75" customHeight="1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</row>
    <row r="302" ht="15.75" customHeight="1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</row>
    <row r="303" ht="15.75" customHeight="1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</row>
    <row r="304" ht="15.75" customHeight="1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</row>
    <row r="305" ht="15.75" customHeight="1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</row>
    <row r="306" ht="15.75" customHeight="1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</row>
    <row r="307" ht="15.75" customHeight="1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</row>
    <row r="308" ht="15.75" customHeight="1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</row>
    <row r="309" ht="15.75" customHeight="1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</row>
    <row r="310" ht="15.75" customHeight="1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</row>
    <row r="311" ht="15.75" customHeight="1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</row>
    <row r="312" ht="15.75" customHeight="1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</row>
    <row r="313" ht="15.75" customHeight="1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</row>
    <row r="314" ht="15.75" customHeight="1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</row>
    <row r="315" ht="15.75" customHeight="1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</row>
    <row r="316" ht="15.75" customHeight="1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</row>
    <row r="317" ht="15.75" customHeight="1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</row>
    <row r="318" ht="15.75" customHeight="1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</row>
    <row r="319" ht="15.75" customHeight="1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</row>
    <row r="320" ht="15.75" customHeight="1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</row>
    <row r="321" ht="15.75" customHeight="1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</row>
    <row r="322" ht="15.75" customHeight="1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</row>
    <row r="323" ht="15.75" customHeight="1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</row>
    <row r="324" ht="15.75" customHeight="1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</row>
    <row r="325" ht="15.75" customHeight="1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</row>
    <row r="326" ht="15.75" customHeight="1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</row>
    <row r="327" ht="15.75" customHeight="1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</row>
    <row r="328" ht="15.75" customHeight="1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</row>
    <row r="329" ht="15.75" customHeight="1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</row>
    <row r="330" ht="15.75" customHeight="1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</row>
    <row r="331" ht="15.75" customHeight="1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</row>
    <row r="332" ht="15.75" customHeight="1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</row>
    <row r="333" ht="15.75" customHeight="1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</row>
    <row r="334" ht="15.75" customHeight="1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</row>
    <row r="335" ht="15.75" customHeight="1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</row>
    <row r="336" ht="15.75" customHeight="1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</row>
    <row r="337" ht="15.75" customHeight="1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</row>
    <row r="338" ht="15.75" customHeight="1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</row>
    <row r="339" ht="15.75" customHeight="1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</row>
    <row r="340" ht="15.75" customHeight="1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</row>
    <row r="341" ht="15.75" customHeight="1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</row>
    <row r="342" ht="15.75" customHeight="1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</row>
    <row r="343" ht="15.75" customHeight="1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</row>
    <row r="344" ht="15.75" customHeight="1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</row>
    <row r="345" ht="15.75" customHeight="1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</row>
    <row r="346" ht="15.75" customHeight="1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</row>
    <row r="347" ht="15.75" customHeight="1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</row>
    <row r="348" ht="15.75" customHeight="1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</row>
    <row r="349" ht="15.75" customHeight="1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</row>
    <row r="350" ht="15.75" customHeight="1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</row>
    <row r="351" ht="15.75" customHeight="1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</row>
    <row r="352" ht="15.75" customHeight="1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</row>
    <row r="353" ht="15.75" customHeight="1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</row>
    <row r="354" ht="15.75" customHeight="1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</row>
    <row r="355" ht="15.75" customHeight="1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</row>
    <row r="356" ht="15.75" customHeight="1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</row>
    <row r="357" ht="15.75" customHeight="1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</row>
    <row r="358" ht="15.75" customHeight="1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</row>
    <row r="359" ht="15.75" customHeight="1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</row>
    <row r="360" ht="15.75" customHeight="1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</row>
    <row r="361" ht="15.75" customHeight="1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</row>
    <row r="362" ht="15.75" customHeight="1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</row>
    <row r="363" ht="15.75" customHeight="1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</row>
    <row r="364" ht="15.75" customHeight="1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</row>
    <row r="365" ht="15.75" customHeight="1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</row>
    <row r="366" ht="15.75" customHeight="1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</row>
    <row r="367" ht="15.75" customHeight="1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</row>
    <row r="368" ht="15.75" customHeight="1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</row>
    <row r="369" ht="15.75" customHeight="1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</row>
    <row r="370" ht="15.75" customHeight="1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</row>
    <row r="371" ht="15.75" customHeight="1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</row>
    <row r="372" ht="15.75" customHeight="1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</row>
    <row r="373" ht="15.75" customHeight="1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</row>
    <row r="374" ht="15.75" customHeight="1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</row>
    <row r="375" ht="15.75" customHeight="1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</row>
    <row r="376" ht="15.75" customHeight="1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</row>
    <row r="377" ht="15.75" customHeight="1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</row>
    <row r="378" ht="15.75" customHeight="1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</row>
    <row r="379" ht="15.75" customHeight="1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</row>
    <row r="380" ht="15.75" customHeight="1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</row>
    <row r="381" ht="15.75" customHeight="1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</row>
    <row r="382" ht="15.75" customHeight="1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</row>
    <row r="383" ht="15.75" customHeight="1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</row>
    <row r="384" ht="15.75" customHeight="1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</row>
    <row r="385" ht="15.75" customHeight="1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</row>
    <row r="386" ht="15.75" customHeight="1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</row>
    <row r="387" ht="15.75" customHeight="1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</row>
    <row r="388" ht="15.75" customHeight="1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</row>
    <row r="389" ht="15.75" customHeight="1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</row>
    <row r="390" ht="15.75" customHeight="1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</row>
    <row r="391" ht="15.75" customHeight="1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</row>
    <row r="392" ht="15.75" customHeight="1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</row>
    <row r="393" ht="15.75" customHeight="1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</row>
    <row r="394" ht="15.75" customHeight="1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</row>
    <row r="395" ht="15.75" customHeight="1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</row>
    <row r="396" ht="15.75" customHeight="1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</row>
    <row r="397" ht="15.75" customHeight="1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</row>
    <row r="398" ht="15.75" customHeight="1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</row>
    <row r="399" ht="15.75" customHeight="1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</row>
    <row r="400" ht="15.75" customHeight="1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</row>
    <row r="401" ht="15.75" customHeight="1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</row>
    <row r="402" ht="15.75" customHeight="1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</row>
    <row r="403" ht="15.75" customHeight="1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</row>
    <row r="404" ht="15.75" customHeight="1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</row>
    <row r="405" ht="15.75" customHeight="1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</row>
    <row r="406" ht="15.75" customHeight="1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</row>
    <row r="407" ht="15.75" customHeight="1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</row>
    <row r="408" ht="15.75" customHeight="1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</row>
    <row r="409" ht="15.75" customHeight="1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</row>
    <row r="410" ht="15.75" customHeight="1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</row>
    <row r="411" ht="15.75" customHeight="1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</row>
    <row r="412" ht="15.75" customHeight="1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</row>
    <row r="413" ht="15.75" customHeight="1">
      <c r="A413" s="173"/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</row>
    <row r="414" ht="15.75" customHeight="1">
      <c r="A414" s="173"/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</row>
    <row r="415" ht="15.75" customHeight="1">
      <c r="A415" s="173"/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</row>
    <row r="416" ht="15.75" customHeight="1">
      <c r="A416" s="173"/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</row>
    <row r="417" ht="15.75" customHeight="1">
      <c r="A417" s="173"/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</row>
    <row r="418" ht="15.75" customHeight="1">
      <c r="A418" s="173"/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</row>
    <row r="419" ht="15.75" customHeight="1">
      <c r="A419" s="173"/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</row>
    <row r="420" ht="15.75" customHeight="1">
      <c r="A420" s="173"/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</row>
    <row r="421" ht="15.75" customHeight="1">
      <c r="A421" s="173"/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</row>
    <row r="422" ht="15.75" customHeight="1">
      <c r="A422" s="173"/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</row>
    <row r="423" ht="15.75" customHeight="1">
      <c r="A423" s="173"/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</row>
    <row r="424" ht="15.75" customHeight="1">
      <c r="A424" s="173"/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</row>
    <row r="425" ht="15.75" customHeight="1">
      <c r="A425" s="173"/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</row>
    <row r="426" ht="15.75" customHeight="1">
      <c r="A426" s="173"/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</row>
    <row r="427" ht="15.75" customHeight="1">
      <c r="A427" s="173"/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</row>
    <row r="428" ht="15.75" customHeight="1">
      <c r="A428" s="173"/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</row>
    <row r="429" ht="15.75" customHeight="1">
      <c r="A429" s="173"/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</row>
    <row r="430" ht="15.75" customHeight="1">
      <c r="A430" s="173"/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</row>
    <row r="431" ht="15.75" customHeight="1">
      <c r="A431" s="173"/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</row>
    <row r="432" ht="15.75" customHeight="1">
      <c r="A432" s="173"/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</row>
    <row r="433" ht="15.75" customHeight="1">
      <c r="A433" s="173"/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</row>
    <row r="434" ht="15.75" customHeight="1">
      <c r="A434" s="173"/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</row>
    <row r="435" ht="15.75" customHeight="1">
      <c r="A435" s="173"/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</row>
    <row r="436" ht="15.75" customHeight="1">
      <c r="A436" s="173"/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</row>
    <row r="437" ht="15.75" customHeight="1">
      <c r="A437" s="173"/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</row>
    <row r="438" ht="15.75" customHeight="1">
      <c r="A438" s="173"/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</row>
    <row r="439" ht="15.75" customHeight="1">
      <c r="A439" s="173"/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</row>
    <row r="440" ht="15.75" customHeight="1">
      <c r="A440" s="173"/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</row>
    <row r="441" ht="15.75" customHeight="1">
      <c r="A441" s="173"/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</row>
    <row r="442" ht="15.75" customHeight="1">
      <c r="A442" s="173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</row>
    <row r="443" ht="15.75" customHeight="1">
      <c r="A443" s="173"/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</row>
    <row r="444" ht="15.75" customHeight="1">
      <c r="A444" s="173"/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</row>
    <row r="445" ht="15.75" customHeight="1">
      <c r="A445" s="173"/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</row>
    <row r="446" ht="15.75" customHeight="1">
      <c r="A446" s="173"/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</row>
    <row r="447" ht="15.75" customHeight="1">
      <c r="A447" s="173"/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</row>
    <row r="448" ht="15.75" customHeight="1">
      <c r="A448" s="173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</row>
    <row r="449" ht="15.75" customHeight="1">
      <c r="A449" s="173"/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</row>
    <row r="450" ht="15.75" customHeight="1">
      <c r="A450" s="173"/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</row>
    <row r="451" ht="15.75" customHeight="1">
      <c r="A451" s="173"/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</row>
    <row r="452" ht="15.75" customHeight="1">
      <c r="A452" s="173"/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</row>
    <row r="453" ht="15.75" customHeight="1">
      <c r="A453" s="173"/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</row>
    <row r="454" ht="15.75" customHeight="1">
      <c r="A454" s="173"/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</row>
    <row r="455" ht="15.75" customHeight="1">
      <c r="A455" s="173"/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</row>
    <row r="456" ht="15.75" customHeight="1">
      <c r="A456" s="173"/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</row>
    <row r="457" ht="15.75" customHeight="1">
      <c r="A457" s="173"/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</row>
    <row r="458" ht="15.75" customHeight="1">
      <c r="A458" s="173"/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</row>
    <row r="459" ht="15.75" customHeight="1">
      <c r="A459" s="173"/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</row>
    <row r="460" ht="15.75" customHeight="1">
      <c r="A460" s="173"/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</row>
    <row r="461" ht="15.75" customHeight="1">
      <c r="A461" s="173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</row>
    <row r="462" ht="15.75" customHeight="1">
      <c r="A462" s="173"/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</row>
    <row r="463" ht="15.75" customHeight="1">
      <c r="A463" s="173"/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</row>
    <row r="464" ht="15.75" customHeight="1">
      <c r="A464" s="173"/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</row>
    <row r="465" ht="15.75" customHeight="1">
      <c r="A465" s="173"/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</row>
    <row r="466" ht="15.75" customHeight="1">
      <c r="A466" s="173"/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</row>
    <row r="467" ht="15.75" customHeight="1">
      <c r="A467" s="173"/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</row>
    <row r="468" ht="15.75" customHeight="1">
      <c r="A468" s="173"/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</row>
    <row r="469" ht="15.75" customHeight="1">
      <c r="A469" s="173"/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</row>
    <row r="470" ht="15.75" customHeight="1">
      <c r="A470" s="173"/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</row>
    <row r="471" ht="15.75" customHeight="1">
      <c r="A471" s="173"/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</row>
    <row r="472" ht="15.75" customHeight="1">
      <c r="A472" s="173"/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</row>
    <row r="473" ht="15.75" customHeight="1">
      <c r="A473" s="173"/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</row>
    <row r="474" ht="15.75" customHeight="1">
      <c r="A474" s="173"/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</row>
    <row r="475" ht="15.75" customHeight="1">
      <c r="A475" s="173"/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</row>
    <row r="476" ht="15.75" customHeight="1">
      <c r="A476" s="173"/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</row>
    <row r="477" ht="15.75" customHeight="1">
      <c r="A477" s="173"/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</row>
    <row r="478" ht="15.75" customHeight="1">
      <c r="A478" s="173"/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</row>
    <row r="479" ht="15.75" customHeight="1">
      <c r="A479" s="173"/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</row>
    <row r="480" ht="15.75" customHeight="1">
      <c r="A480" s="173"/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</row>
    <row r="481" ht="15.75" customHeight="1">
      <c r="A481" s="173"/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</row>
    <row r="482" ht="15.75" customHeight="1">
      <c r="A482" s="173"/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</row>
    <row r="483" ht="15.75" customHeight="1">
      <c r="A483" s="173"/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</row>
    <row r="484" ht="15.75" customHeight="1">
      <c r="A484" s="173"/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</row>
    <row r="485" ht="15.75" customHeight="1">
      <c r="A485" s="173"/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</row>
    <row r="486" ht="15.75" customHeight="1">
      <c r="A486" s="173"/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</row>
    <row r="487" ht="15.75" customHeight="1">
      <c r="A487" s="173"/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</row>
    <row r="488" ht="15.75" customHeight="1">
      <c r="A488" s="173"/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</row>
    <row r="489" ht="15.75" customHeight="1">
      <c r="A489" s="173"/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</row>
    <row r="490" ht="15.75" customHeight="1">
      <c r="A490" s="173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</row>
    <row r="491" ht="15.75" customHeight="1">
      <c r="A491" s="173"/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</row>
    <row r="492" ht="15.75" customHeight="1">
      <c r="A492" s="173"/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</row>
    <row r="493" ht="15.75" customHeight="1">
      <c r="A493" s="173"/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</row>
    <row r="494" ht="15.75" customHeight="1">
      <c r="A494" s="173"/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</row>
    <row r="495" ht="15.75" customHeight="1">
      <c r="A495" s="173"/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</row>
    <row r="496" ht="15.75" customHeight="1">
      <c r="A496" s="173"/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</row>
    <row r="497" ht="15.75" customHeight="1">
      <c r="A497" s="173"/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</row>
    <row r="498" ht="15.75" customHeight="1">
      <c r="A498" s="173"/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</row>
    <row r="499" ht="15.75" customHeight="1">
      <c r="A499" s="173"/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</row>
    <row r="500" ht="15.75" customHeight="1">
      <c r="A500" s="173"/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</row>
    <row r="501" ht="15.75" customHeight="1">
      <c r="A501" s="173"/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</row>
    <row r="502" ht="15.75" customHeight="1">
      <c r="A502" s="173"/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</row>
    <row r="503" ht="15.75" customHeight="1">
      <c r="A503" s="173"/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</row>
    <row r="504" ht="15.75" customHeight="1">
      <c r="A504" s="173"/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</row>
    <row r="505" ht="15.75" customHeight="1">
      <c r="A505" s="173"/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</row>
    <row r="506" ht="15.75" customHeight="1">
      <c r="A506" s="173"/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</row>
    <row r="507" ht="15.75" customHeight="1">
      <c r="A507" s="173"/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</row>
    <row r="508" ht="15.75" customHeight="1">
      <c r="A508" s="173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</row>
    <row r="509" ht="15.75" customHeight="1">
      <c r="A509" s="173"/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</row>
    <row r="510" ht="15.75" customHeight="1">
      <c r="A510" s="173"/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</row>
    <row r="511" ht="15.75" customHeight="1">
      <c r="A511" s="173"/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</row>
    <row r="512" ht="15.75" customHeight="1">
      <c r="A512" s="173"/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</row>
    <row r="513" ht="15.75" customHeight="1">
      <c r="A513" s="173"/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</row>
    <row r="514" ht="15.75" customHeight="1">
      <c r="A514" s="173"/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</row>
    <row r="515" ht="15.75" customHeight="1">
      <c r="A515" s="173"/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</row>
    <row r="516" ht="15.75" customHeight="1">
      <c r="A516" s="173"/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</row>
    <row r="517" ht="15.75" customHeight="1">
      <c r="A517" s="173"/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</row>
    <row r="518" ht="15.75" customHeight="1">
      <c r="A518" s="173"/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</row>
    <row r="519" ht="15.75" customHeight="1">
      <c r="A519" s="173"/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</row>
    <row r="520" ht="15.75" customHeight="1">
      <c r="A520" s="173"/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</row>
    <row r="521" ht="15.75" customHeight="1">
      <c r="A521" s="173"/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</row>
    <row r="522" ht="15.75" customHeight="1">
      <c r="A522" s="173"/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</row>
    <row r="523" ht="15.75" customHeight="1">
      <c r="A523" s="173"/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</row>
    <row r="524" ht="15.75" customHeight="1">
      <c r="A524" s="173"/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</row>
    <row r="525" ht="15.75" customHeight="1">
      <c r="A525" s="173"/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</row>
    <row r="526" ht="15.75" customHeight="1">
      <c r="A526" s="173"/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</row>
    <row r="527" ht="15.75" customHeight="1">
      <c r="A527" s="173"/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</row>
    <row r="528" ht="15.75" customHeight="1">
      <c r="A528" s="173"/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</row>
    <row r="529" ht="15.75" customHeight="1">
      <c r="A529" s="173"/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</row>
    <row r="530" ht="15.75" customHeight="1">
      <c r="A530" s="173"/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</row>
    <row r="531" ht="15.75" customHeight="1">
      <c r="A531" s="173"/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</row>
    <row r="532" ht="15.75" customHeight="1">
      <c r="A532" s="173"/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</row>
    <row r="533" ht="15.75" customHeight="1">
      <c r="A533" s="173"/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</row>
    <row r="534" ht="15.75" customHeight="1">
      <c r="A534" s="173"/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</row>
    <row r="535" ht="15.75" customHeight="1">
      <c r="A535" s="173"/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</row>
    <row r="536" ht="15.75" customHeight="1">
      <c r="A536" s="173"/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</row>
    <row r="537" ht="15.75" customHeight="1">
      <c r="A537" s="173"/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</row>
    <row r="538" ht="15.75" customHeight="1">
      <c r="A538" s="173"/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</row>
    <row r="539" ht="15.75" customHeight="1">
      <c r="A539" s="173"/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</row>
    <row r="540" ht="15.75" customHeight="1">
      <c r="A540" s="173"/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</row>
    <row r="541" ht="15.75" customHeight="1">
      <c r="A541" s="173"/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</row>
    <row r="542" ht="15.75" customHeight="1">
      <c r="A542" s="173"/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</row>
    <row r="543" ht="15.75" customHeight="1">
      <c r="A543" s="173"/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</row>
    <row r="544" ht="15.75" customHeight="1">
      <c r="A544" s="173"/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</row>
    <row r="545" ht="15.75" customHeight="1">
      <c r="A545" s="173"/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</row>
    <row r="546" ht="15.75" customHeight="1">
      <c r="A546" s="173"/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</row>
    <row r="547" ht="15.75" customHeight="1">
      <c r="A547" s="173"/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</row>
    <row r="548" ht="15.75" customHeight="1">
      <c r="A548" s="173"/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</row>
    <row r="549" ht="15.75" customHeight="1">
      <c r="A549" s="173"/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</row>
    <row r="550" ht="15.75" customHeight="1">
      <c r="A550" s="173"/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</row>
    <row r="551" ht="15.75" customHeight="1">
      <c r="A551" s="173"/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</row>
    <row r="552" ht="15.75" customHeight="1">
      <c r="A552" s="173"/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</row>
    <row r="553" ht="15.75" customHeight="1">
      <c r="A553" s="173"/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</row>
    <row r="554" ht="15.75" customHeight="1">
      <c r="A554" s="173"/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</row>
    <row r="555" ht="15.75" customHeight="1">
      <c r="A555" s="173"/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</row>
    <row r="556" ht="15.75" customHeight="1">
      <c r="A556" s="173"/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</row>
    <row r="557" ht="15.75" customHeight="1">
      <c r="A557" s="173"/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</row>
    <row r="558" ht="15.75" customHeight="1">
      <c r="A558" s="173"/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</row>
    <row r="559" ht="15.75" customHeight="1">
      <c r="A559" s="173"/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</row>
    <row r="560" ht="15.75" customHeight="1">
      <c r="A560" s="173"/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</row>
    <row r="561" ht="15.75" customHeight="1">
      <c r="A561" s="173"/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</row>
    <row r="562" ht="15.75" customHeight="1">
      <c r="A562" s="173"/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</row>
    <row r="563" ht="15.75" customHeight="1">
      <c r="A563" s="173"/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</row>
    <row r="564" ht="15.75" customHeight="1">
      <c r="A564" s="173"/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</row>
    <row r="565" ht="15.75" customHeight="1">
      <c r="A565" s="173"/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</row>
    <row r="566" ht="15.75" customHeight="1">
      <c r="A566" s="173"/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</row>
    <row r="567" ht="15.75" customHeight="1">
      <c r="A567" s="173"/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</row>
    <row r="568" ht="15.75" customHeight="1">
      <c r="A568" s="173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</row>
    <row r="569" ht="15.75" customHeight="1">
      <c r="A569" s="173"/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</row>
    <row r="570" ht="15.75" customHeight="1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</row>
    <row r="571" ht="15.75" customHeight="1">
      <c r="A571" s="173"/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</row>
    <row r="572" ht="15.75" customHeight="1">
      <c r="A572" s="173"/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</row>
    <row r="573" ht="15.75" customHeight="1">
      <c r="A573" s="173"/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</row>
    <row r="574" ht="15.75" customHeight="1">
      <c r="A574" s="173"/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</row>
    <row r="575" ht="15.75" customHeight="1">
      <c r="A575" s="173"/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</row>
    <row r="576" ht="15.75" customHeight="1">
      <c r="A576" s="173"/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</row>
    <row r="577" ht="15.75" customHeight="1">
      <c r="A577" s="173"/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</row>
    <row r="578" ht="15.75" customHeight="1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</row>
    <row r="579" ht="15.75" customHeight="1">
      <c r="A579" s="173"/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</row>
    <row r="580" ht="15.75" customHeight="1">
      <c r="A580" s="173"/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</row>
    <row r="581" ht="15.75" customHeight="1">
      <c r="A581" s="173"/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</row>
    <row r="582" ht="15.75" customHeight="1">
      <c r="A582" s="173"/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</row>
    <row r="583" ht="15.75" customHeight="1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</row>
    <row r="584" ht="15.75" customHeight="1">
      <c r="A584" s="173"/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</row>
    <row r="585" ht="15.75" customHeight="1">
      <c r="A585" s="173"/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</row>
    <row r="586" ht="15.75" customHeight="1">
      <c r="A586" s="173"/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</row>
    <row r="587" ht="15.75" customHeight="1">
      <c r="A587" s="173"/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</row>
    <row r="588" ht="15.75" customHeight="1">
      <c r="A588" s="173"/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</row>
    <row r="589" ht="15.75" customHeight="1">
      <c r="A589" s="173"/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</row>
    <row r="590" ht="15.75" customHeight="1">
      <c r="A590" s="173"/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</row>
    <row r="591" ht="15.75" customHeight="1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</row>
    <row r="592" ht="15.75" customHeight="1">
      <c r="A592" s="173"/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</row>
    <row r="593" ht="15.75" customHeight="1">
      <c r="A593" s="173"/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</row>
    <row r="594" ht="15.75" customHeight="1">
      <c r="A594" s="173"/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</row>
    <row r="595" ht="15.75" customHeight="1">
      <c r="A595" s="173"/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</row>
    <row r="596" ht="15.75" customHeight="1">
      <c r="A596" s="173"/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</row>
    <row r="597" ht="15.75" customHeight="1">
      <c r="A597" s="173"/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</row>
    <row r="598" ht="15.75" customHeight="1">
      <c r="A598" s="173"/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</row>
    <row r="599" ht="15.75" customHeight="1">
      <c r="A599" s="173"/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</row>
    <row r="600" ht="15.75" customHeight="1">
      <c r="A600" s="173"/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</row>
    <row r="601" ht="15.75" customHeight="1">
      <c r="A601" s="173"/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</row>
    <row r="602" ht="15.75" customHeight="1">
      <c r="A602" s="173"/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</row>
    <row r="603" ht="15.75" customHeight="1">
      <c r="A603" s="173"/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</row>
    <row r="604" ht="15.75" customHeight="1">
      <c r="A604" s="173"/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</row>
    <row r="605" ht="15.75" customHeight="1">
      <c r="A605" s="173"/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</row>
    <row r="606" ht="15.75" customHeight="1">
      <c r="A606" s="173"/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</row>
    <row r="607" ht="15.75" customHeight="1">
      <c r="A607" s="173"/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</row>
    <row r="608" ht="15.75" customHeight="1">
      <c r="A608" s="173"/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</row>
    <row r="609" ht="15.75" customHeight="1">
      <c r="A609" s="173"/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</row>
    <row r="610" ht="15.75" customHeight="1">
      <c r="A610" s="173"/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</row>
    <row r="611" ht="15.75" customHeight="1">
      <c r="A611" s="173"/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</row>
    <row r="612" ht="15.75" customHeight="1">
      <c r="A612" s="173"/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</row>
    <row r="613" ht="15.75" customHeight="1">
      <c r="A613" s="173"/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</row>
    <row r="614" ht="15.75" customHeight="1">
      <c r="A614" s="173"/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</row>
    <row r="615" ht="15.75" customHeight="1">
      <c r="A615" s="173"/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</row>
    <row r="616" ht="15.75" customHeight="1">
      <c r="A616" s="173"/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</row>
    <row r="617" ht="15.75" customHeight="1">
      <c r="A617" s="173"/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</row>
    <row r="618" ht="15.75" customHeight="1">
      <c r="A618" s="173"/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</row>
    <row r="619" ht="15.75" customHeight="1">
      <c r="A619" s="173"/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</row>
    <row r="620" ht="15.75" customHeight="1">
      <c r="A620" s="173"/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</row>
    <row r="621" ht="15.75" customHeight="1">
      <c r="A621" s="173"/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</row>
    <row r="622" ht="15.75" customHeight="1">
      <c r="A622" s="173"/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</row>
    <row r="623" ht="15.75" customHeight="1">
      <c r="A623" s="173"/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</row>
    <row r="624" ht="15.75" customHeight="1">
      <c r="A624" s="173"/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</row>
    <row r="625" ht="15.75" customHeight="1">
      <c r="A625" s="173"/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</row>
    <row r="626" ht="15.75" customHeight="1">
      <c r="A626" s="173"/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</row>
    <row r="627" ht="15.75" customHeight="1">
      <c r="A627" s="173"/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</row>
    <row r="628" ht="15.75" customHeight="1">
      <c r="A628" s="173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</row>
    <row r="629" ht="15.75" customHeight="1">
      <c r="A629" s="173"/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</row>
    <row r="630" ht="15.75" customHeight="1">
      <c r="A630" s="173"/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</row>
    <row r="631" ht="15.75" customHeight="1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</row>
    <row r="632" ht="15.75" customHeight="1">
      <c r="A632" s="173"/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</row>
    <row r="633" ht="15.75" customHeight="1">
      <c r="A633" s="173"/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</row>
    <row r="634" ht="15.75" customHeight="1">
      <c r="A634" s="173"/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</row>
    <row r="635" ht="15.75" customHeight="1">
      <c r="A635" s="173"/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</row>
    <row r="636" ht="15.75" customHeight="1">
      <c r="A636" s="173"/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</row>
    <row r="637" ht="15.75" customHeight="1">
      <c r="A637" s="173"/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</row>
    <row r="638" ht="15.75" customHeight="1">
      <c r="A638" s="173"/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</row>
    <row r="639" ht="15.75" customHeight="1">
      <c r="A639" s="173"/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</row>
    <row r="640" ht="15.75" customHeight="1">
      <c r="A640" s="173"/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</row>
    <row r="641" ht="15.75" customHeight="1">
      <c r="A641" s="173"/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</row>
    <row r="642" ht="15.75" customHeight="1">
      <c r="A642" s="173"/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</row>
    <row r="643" ht="15.75" customHeight="1">
      <c r="A643" s="173"/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</row>
    <row r="644" ht="15.75" customHeight="1">
      <c r="A644" s="173"/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</row>
    <row r="645" ht="15.75" customHeight="1">
      <c r="A645" s="173"/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</row>
    <row r="646" ht="15.75" customHeight="1">
      <c r="A646" s="173"/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</row>
    <row r="647" ht="15.75" customHeight="1">
      <c r="A647" s="173"/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</row>
    <row r="648" ht="15.75" customHeight="1">
      <c r="A648" s="173"/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</row>
    <row r="649" ht="15.75" customHeight="1">
      <c r="A649" s="173"/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</row>
    <row r="650" ht="15.75" customHeight="1">
      <c r="A650" s="173"/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</row>
    <row r="651" ht="15.75" customHeight="1">
      <c r="A651" s="173"/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</row>
    <row r="652" ht="15.75" customHeight="1">
      <c r="A652" s="173"/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</row>
    <row r="653" ht="15.75" customHeight="1">
      <c r="A653" s="173"/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</row>
    <row r="654" ht="15.75" customHeight="1">
      <c r="A654" s="173"/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</row>
    <row r="655" ht="15.75" customHeight="1">
      <c r="A655" s="173"/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</row>
    <row r="656" ht="15.75" customHeight="1">
      <c r="A656" s="173"/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</row>
    <row r="657" ht="15.75" customHeight="1">
      <c r="A657" s="173"/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</row>
    <row r="658" ht="15.75" customHeight="1">
      <c r="A658" s="173"/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</row>
    <row r="659" ht="15.75" customHeight="1">
      <c r="A659" s="173"/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</row>
    <row r="660" ht="15.75" customHeight="1">
      <c r="A660" s="173"/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</row>
    <row r="661" ht="15.75" customHeight="1">
      <c r="A661" s="173"/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</row>
    <row r="662" ht="15.75" customHeight="1">
      <c r="A662" s="173"/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</row>
    <row r="663" ht="15.75" customHeight="1">
      <c r="A663" s="173"/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</row>
    <row r="664" ht="15.75" customHeight="1">
      <c r="A664" s="173"/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</row>
    <row r="665" ht="15.75" customHeight="1">
      <c r="A665" s="173"/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</row>
    <row r="666" ht="15.75" customHeight="1">
      <c r="A666" s="173"/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</row>
    <row r="667" ht="15.75" customHeight="1">
      <c r="A667" s="173"/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</row>
    <row r="668" ht="15.75" customHeight="1">
      <c r="A668" s="173"/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</row>
    <row r="669" ht="15.75" customHeight="1">
      <c r="A669" s="173"/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</row>
    <row r="670" ht="15.75" customHeight="1">
      <c r="A670" s="173"/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</row>
    <row r="671" ht="15.75" customHeight="1">
      <c r="A671" s="173"/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</row>
    <row r="672" ht="15.75" customHeight="1">
      <c r="A672" s="173"/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</row>
    <row r="673" ht="15.75" customHeight="1">
      <c r="A673" s="173"/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</row>
    <row r="674" ht="15.75" customHeight="1">
      <c r="A674" s="173"/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</row>
    <row r="675" ht="15.75" customHeight="1">
      <c r="A675" s="173"/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</row>
    <row r="676" ht="15.75" customHeight="1">
      <c r="A676" s="173"/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</row>
    <row r="677" ht="15.75" customHeight="1">
      <c r="A677" s="173"/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</row>
    <row r="678" ht="15.75" customHeight="1">
      <c r="A678" s="173"/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</row>
    <row r="679" ht="15.75" customHeight="1">
      <c r="A679" s="173"/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</row>
    <row r="680" ht="15.75" customHeight="1">
      <c r="A680" s="173"/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</row>
    <row r="681" ht="15.75" customHeight="1">
      <c r="A681" s="173"/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</row>
    <row r="682" ht="15.75" customHeight="1">
      <c r="A682" s="173"/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</row>
    <row r="683" ht="15.75" customHeight="1">
      <c r="A683" s="173"/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</row>
    <row r="684" ht="15.75" customHeight="1">
      <c r="A684" s="173"/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</row>
    <row r="685" ht="15.75" customHeight="1">
      <c r="A685" s="173"/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</row>
    <row r="686" ht="15.75" customHeight="1">
      <c r="A686" s="173"/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</row>
    <row r="687" ht="15.75" customHeight="1">
      <c r="A687" s="173"/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</row>
    <row r="688" ht="15.75" customHeight="1">
      <c r="A688" s="173"/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</row>
    <row r="689" ht="15.75" customHeight="1">
      <c r="A689" s="173"/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</row>
    <row r="690" ht="15.75" customHeight="1">
      <c r="A690" s="173"/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</row>
    <row r="691" ht="15.75" customHeight="1">
      <c r="A691" s="173"/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</row>
    <row r="692" ht="15.75" customHeight="1">
      <c r="A692" s="173"/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</row>
    <row r="693" ht="15.75" customHeight="1">
      <c r="A693" s="173"/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</row>
    <row r="694" ht="15.75" customHeight="1">
      <c r="A694" s="173"/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</row>
    <row r="695" ht="15.75" customHeight="1">
      <c r="A695" s="173"/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</row>
    <row r="696" ht="15.75" customHeight="1">
      <c r="A696" s="173"/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</row>
    <row r="697" ht="15.75" customHeight="1">
      <c r="A697" s="173"/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</row>
    <row r="698" ht="15.75" customHeight="1">
      <c r="A698" s="173"/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</row>
    <row r="699" ht="15.75" customHeight="1">
      <c r="A699" s="173"/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</row>
    <row r="700" ht="15.75" customHeight="1">
      <c r="A700" s="173"/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</row>
    <row r="701" ht="15.75" customHeight="1">
      <c r="A701" s="173"/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</row>
    <row r="702" ht="15.75" customHeight="1">
      <c r="A702" s="173"/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</row>
    <row r="703" ht="15.75" customHeight="1">
      <c r="A703" s="173"/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</row>
    <row r="704" ht="15.75" customHeight="1">
      <c r="A704" s="173"/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</row>
    <row r="705" ht="15.75" customHeight="1">
      <c r="A705" s="173"/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</row>
    <row r="706" ht="15.75" customHeight="1">
      <c r="A706" s="173"/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</row>
    <row r="707" ht="15.75" customHeight="1">
      <c r="A707" s="173"/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</row>
    <row r="708" ht="15.75" customHeight="1">
      <c r="A708" s="173"/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</row>
    <row r="709" ht="15.75" customHeight="1">
      <c r="A709" s="173"/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</row>
    <row r="710" ht="15.75" customHeight="1">
      <c r="A710" s="173"/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</row>
    <row r="711" ht="15.75" customHeight="1">
      <c r="A711" s="173"/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</row>
    <row r="712" ht="15.75" customHeight="1">
      <c r="A712" s="173"/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</row>
    <row r="713" ht="15.75" customHeight="1">
      <c r="A713" s="173"/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</row>
    <row r="714" ht="15.75" customHeight="1">
      <c r="A714" s="173"/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</row>
    <row r="715" ht="15.75" customHeight="1">
      <c r="A715" s="173"/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</row>
    <row r="716" ht="15.75" customHeight="1">
      <c r="A716" s="173"/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</row>
    <row r="717" ht="15.75" customHeight="1">
      <c r="A717" s="173"/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</row>
    <row r="718" ht="15.75" customHeight="1">
      <c r="A718" s="173"/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</row>
    <row r="719" ht="15.75" customHeight="1">
      <c r="A719" s="173"/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</row>
    <row r="720" ht="15.75" customHeight="1">
      <c r="A720" s="173"/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</row>
    <row r="721" ht="15.75" customHeight="1">
      <c r="A721" s="173"/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</row>
    <row r="722" ht="15.75" customHeight="1">
      <c r="A722" s="173"/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</row>
    <row r="723" ht="15.75" customHeight="1">
      <c r="A723" s="173"/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</row>
    <row r="724" ht="15.75" customHeight="1">
      <c r="A724" s="173"/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</row>
    <row r="725" ht="15.75" customHeight="1">
      <c r="A725" s="173"/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</row>
    <row r="726" ht="15.75" customHeight="1">
      <c r="A726" s="173"/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</row>
    <row r="727" ht="15.75" customHeight="1">
      <c r="A727" s="173"/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</row>
    <row r="728" ht="15.75" customHeight="1">
      <c r="A728" s="173"/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</row>
    <row r="729" ht="15.75" customHeight="1">
      <c r="A729" s="173"/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</row>
    <row r="730" ht="15.75" customHeight="1">
      <c r="A730" s="173"/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</row>
    <row r="731" ht="15.75" customHeight="1">
      <c r="A731" s="173"/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</row>
    <row r="732" ht="15.75" customHeight="1">
      <c r="A732" s="173"/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</row>
    <row r="733" ht="15.75" customHeight="1">
      <c r="A733" s="173"/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</row>
    <row r="734" ht="15.75" customHeight="1">
      <c r="A734" s="173"/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</row>
    <row r="735" ht="15.75" customHeight="1">
      <c r="A735" s="173"/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</row>
    <row r="736" ht="15.75" customHeight="1">
      <c r="A736" s="173"/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</row>
    <row r="737" ht="15.75" customHeight="1">
      <c r="A737" s="173"/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</row>
    <row r="738" ht="15.75" customHeight="1">
      <c r="A738" s="173"/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</row>
    <row r="739" ht="15.75" customHeight="1">
      <c r="A739" s="173"/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</row>
    <row r="740" ht="15.75" customHeight="1">
      <c r="A740" s="173"/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</row>
    <row r="741" ht="15.75" customHeight="1">
      <c r="A741" s="173"/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</row>
    <row r="742" ht="15.75" customHeight="1">
      <c r="A742" s="173"/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</row>
    <row r="743" ht="15.75" customHeight="1">
      <c r="A743" s="173"/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</row>
    <row r="744" ht="15.75" customHeight="1">
      <c r="A744" s="173"/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</row>
    <row r="745" ht="15.75" customHeight="1">
      <c r="A745" s="173"/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</row>
    <row r="746" ht="15.75" customHeight="1">
      <c r="A746" s="173"/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</row>
    <row r="747" ht="15.75" customHeight="1">
      <c r="A747" s="173"/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</row>
    <row r="748" ht="15.75" customHeight="1">
      <c r="A748" s="173"/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</row>
    <row r="749" ht="15.75" customHeight="1">
      <c r="A749" s="173"/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</row>
    <row r="750" ht="15.75" customHeight="1">
      <c r="A750" s="173"/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</row>
    <row r="751" ht="15.75" customHeight="1">
      <c r="A751" s="173"/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</row>
    <row r="752" ht="15.75" customHeight="1">
      <c r="A752" s="173"/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</row>
    <row r="753" ht="15.75" customHeight="1">
      <c r="A753" s="173"/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</row>
    <row r="754" ht="15.75" customHeight="1">
      <c r="A754" s="173"/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</row>
    <row r="755" ht="15.75" customHeight="1">
      <c r="A755" s="173"/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</row>
    <row r="756" ht="15.75" customHeight="1">
      <c r="A756" s="173"/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</row>
    <row r="757" ht="15.75" customHeight="1">
      <c r="A757" s="173"/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</row>
    <row r="758" ht="15.75" customHeight="1">
      <c r="A758" s="173"/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</row>
    <row r="759" ht="15.75" customHeight="1">
      <c r="A759" s="173"/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</row>
    <row r="760" ht="15.75" customHeight="1">
      <c r="A760" s="173"/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</row>
    <row r="761" ht="15.75" customHeight="1">
      <c r="A761" s="173"/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</row>
    <row r="762" ht="15.75" customHeight="1">
      <c r="A762" s="173"/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</row>
    <row r="763" ht="15.75" customHeight="1">
      <c r="A763" s="173"/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</row>
    <row r="764" ht="15.75" customHeight="1">
      <c r="A764" s="173"/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</row>
    <row r="765" ht="15.75" customHeight="1">
      <c r="A765" s="173"/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</row>
    <row r="766" ht="15.75" customHeight="1">
      <c r="A766" s="173"/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</row>
    <row r="767" ht="15.75" customHeight="1">
      <c r="A767" s="173"/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</row>
    <row r="768" ht="15.75" customHeight="1">
      <c r="A768" s="173"/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</row>
    <row r="769" ht="15.75" customHeight="1">
      <c r="A769" s="173"/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</row>
    <row r="770" ht="15.75" customHeight="1">
      <c r="A770" s="173"/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</row>
    <row r="771" ht="15.75" customHeight="1">
      <c r="A771" s="173"/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</row>
    <row r="772" ht="15.75" customHeight="1">
      <c r="A772" s="173"/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</row>
    <row r="773" ht="15.75" customHeight="1">
      <c r="A773" s="173"/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</row>
    <row r="774" ht="15.75" customHeight="1">
      <c r="A774" s="173"/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</row>
    <row r="775" ht="15.75" customHeight="1">
      <c r="A775" s="173"/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</row>
    <row r="776" ht="15.75" customHeight="1">
      <c r="A776" s="173"/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</row>
    <row r="777" ht="15.75" customHeight="1">
      <c r="A777" s="173"/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</row>
    <row r="778" ht="15.75" customHeight="1">
      <c r="A778" s="173"/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</row>
    <row r="779" ht="15.75" customHeight="1">
      <c r="A779" s="173"/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</row>
    <row r="780" ht="15.75" customHeight="1">
      <c r="A780" s="173"/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</row>
    <row r="781" ht="15.75" customHeight="1">
      <c r="A781" s="173"/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</row>
    <row r="782" ht="15.75" customHeight="1">
      <c r="A782" s="173"/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</row>
    <row r="783" ht="15.75" customHeight="1">
      <c r="A783" s="173"/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</row>
    <row r="784" ht="15.75" customHeight="1">
      <c r="A784" s="173"/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</row>
    <row r="785" ht="15.75" customHeight="1">
      <c r="A785" s="173"/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</row>
    <row r="786" ht="15.75" customHeight="1">
      <c r="A786" s="173"/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</row>
    <row r="787" ht="15.75" customHeight="1">
      <c r="A787" s="173"/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</row>
    <row r="788" ht="15.75" customHeight="1">
      <c r="A788" s="173"/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</row>
    <row r="789" ht="15.75" customHeight="1">
      <c r="A789" s="173"/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</row>
    <row r="790" ht="15.75" customHeight="1">
      <c r="A790" s="173"/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</row>
    <row r="791" ht="15.75" customHeight="1">
      <c r="A791" s="173"/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</row>
    <row r="792" ht="15.75" customHeight="1">
      <c r="A792" s="173"/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</row>
    <row r="793" ht="15.75" customHeight="1">
      <c r="A793" s="173"/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</row>
    <row r="794" ht="15.75" customHeight="1">
      <c r="A794" s="173"/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</row>
    <row r="795" ht="15.75" customHeight="1">
      <c r="A795" s="173"/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</row>
    <row r="796" ht="15.75" customHeight="1">
      <c r="A796" s="173"/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</row>
    <row r="797" ht="15.75" customHeight="1">
      <c r="A797" s="173"/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</row>
    <row r="798" ht="15.75" customHeight="1">
      <c r="A798" s="173"/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</row>
    <row r="799" ht="15.75" customHeight="1">
      <c r="A799" s="173"/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</row>
    <row r="800" ht="15.75" customHeight="1">
      <c r="A800" s="173"/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</row>
    <row r="801" ht="15.75" customHeight="1">
      <c r="A801" s="173"/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</row>
    <row r="802" ht="15.75" customHeight="1">
      <c r="A802" s="173"/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</row>
    <row r="803" ht="15.75" customHeight="1">
      <c r="A803" s="173"/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</row>
    <row r="804" ht="15.75" customHeight="1">
      <c r="A804" s="173"/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</row>
    <row r="805" ht="15.75" customHeight="1">
      <c r="A805" s="173"/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</row>
    <row r="806" ht="15.75" customHeight="1">
      <c r="A806" s="173"/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</row>
    <row r="807" ht="15.75" customHeight="1">
      <c r="A807" s="173"/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</row>
    <row r="808" ht="15.75" customHeight="1">
      <c r="A808" s="173"/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</row>
    <row r="809" ht="15.75" customHeight="1">
      <c r="A809" s="173"/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</row>
    <row r="810" ht="15.75" customHeight="1">
      <c r="A810" s="173"/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</row>
    <row r="811" ht="15.75" customHeight="1">
      <c r="A811" s="173"/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</row>
    <row r="812" ht="15.75" customHeight="1">
      <c r="A812" s="173"/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</row>
    <row r="813" ht="15.75" customHeight="1">
      <c r="A813" s="173"/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</row>
    <row r="814" ht="15.75" customHeight="1">
      <c r="A814" s="173"/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</row>
    <row r="815" ht="15.75" customHeight="1">
      <c r="A815" s="173"/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</row>
    <row r="816" ht="15.75" customHeight="1">
      <c r="A816" s="173"/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</row>
    <row r="817" ht="15.75" customHeight="1">
      <c r="A817" s="173"/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</row>
    <row r="818" ht="15.75" customHeight="1">
      <c r="A818" s="173"/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</row>
    <row r="819" ht="15.75" customHeight="1">
      <c r="A819" s="173"/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</row>
    <row r="820" ht="15.75" customHeight="1">
      <c r="A820" s="173"/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</row>
    <row r="821" ht="15.75" customHeight="1">
      <c r="A821" s="173"/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</row>
    <row r="822" ht="15.75" customHeight="1">
      <c r="A822" s="173"/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</row>
    <row r="823" ht="15.75" customHeight="1">
      <c r="A823" s="173"/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</row>
    <row r="824" ht="15.75" customHeight="1">
      <c r="A824" s="173"/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</row>
    <row r="825" ht="15.75" customHeight="1">
      <c r="A825" s="173"/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</row>
    <row r="826" ht="15.75" customHeight="1">
      <c r="A826" s="173"/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</row>
    <row r="827" ht="15.75" customHeight="1">
      <c r="A827" s="173"/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</row>
    <row r="828" ht="15.75" customHeight="1">
      <c r="A828" s="173"/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</row>
    <row r="829" ht="15.75" customHeight="1">
      <c r="A829" s="173"/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</row>
    <row r="830" ht="15.75" customHeight="1">
      <c r="A830" s="173"/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</row>
    <row r="831" ht="15.75" customHeight="1">
      <c r="A831" s="173"/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</row>
    <row r="832" ht="15.75" customHeight="1">
      <c r="A832" s="173"/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</row>
    <row r="833" ht="15.75" customHeight="1">
      <c r="A833" s="173"/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</row>
    <row r="834" ht="15.75" customHeight="1">
      <c r="A834" s="173"/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</row>
    <row r="835" ht="15.75" customHeight="1">
      <c r="A835" s="173"/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</row>
    <row r="836" ht="15.75" customHeight="1">
      <c r="A836" s="173"/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</row>
    <row r="837" ht="15.75" customHeight="1">
      <c r="A837" s="173"/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</row>
    <row r="838" ht="15.75" customHeight="1">
      <c r="A838" s="173"/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</row>
    <row r="839" ht="15.75" customHeight="1">
      <c r="A839" s="173"/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</row>
    <row r="840" ht="15.75" customHeight="1">
      <c r="A840" s="173"/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</row>
    <row r="841" ht="15.75" customHeight="1">
      <c r="A841" s="173"/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</row>
    <row r="842" ht="15.75" customHeight="1">
      <c r="A842" s="173"/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</row>
    <row r="843" ht="15.75" customHeight="1">
      <c r="A843" s="173"/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</row>
    <row r="844" ht="15.75" customHeight="1">
      <c r="A844" s="173"/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</row>
    <row r="845" ht="15.75" customHeight="1">
      <c r="A845" s="173"/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</row>
    <row r="846" ht="15.75" customHeight="1">
      <c r="A846" s="173"/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</row>
    <row r="847" ht="15.75" customHeight="1">
      <c r="A847" s="173"/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</row>
    <row r="848" ht="15.75" customHeight="1">
      <c r="A848" s="173"/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</row>
    <row r="849" ht="15.75" customHeight="1">
      <c r="A849" s="173"/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</row>
    <row r="850" ht="15.75" customHeight="1">
      <c r="A850" s="173"/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</row>
    <row r="851" ht="15.75" customHeight="1">
      <c r="A851" s="173"/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</row>
    <row r="852" ht="15.75" customHeight="1">
      <c r="A852" s="173"/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</row>
    <row r="853" ht="15.75" customHeight="1">
      <c r="A853" s="173"/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</row>
    <row r="854" ht="15.75" customHeight="1">
      <c r="A854" s="173"/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</row>
    <row r="855" ht="15.75" customHeight="1">
      <c r="A855" s="173"/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</row>
    <row r="856" ht="15.75" customHeight="1">
      <c r="A856" s="173"/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</row>
    <row r="857" ht="15.75" customHeight="1">
      <c r="A857" s="173"/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</row>
    <row r="858" ht="15.75" customHeight="1">
      <c r="A858" s="173"/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</row>
    <row r="859" ht="15.75" customHeight="1">
      <c r="A859" s="173"/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</row>
    <row r="860" ht="15.75" customHeight="1">
      <c r="A860" s="173"/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</row>
    <row r="861" ht="15.75" customHeight="1">
      <c r="A861" s="173"/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</row>
    <row r="862" ht="15.75" customHeight="1">
      <c r="A862" s="173"/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</row>
    <row r="863" ht="15.75" customHeight="1">
      <c r="A863" s="173"/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</row>
    <row r="864" ht="15.75" customHeight="1">
      <c r="A864" s="173"/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</row>
    <row r="865" ht="15.75" customHeight="1">
      <c r="A865" s="173"/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</row>
    <row r="866" ht="15.75" customHeight="1">
      <c r="A866" s="173"/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</row>
    <row r="867" ht="15.75" customHeight="1">
      <c r="A867" s="173"/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</row>
    <row r="868" ht="15.75" customHeight="1">
      <c r="A868" s="173"/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</row>
    <row r="869" ht="15.75" customHeight="1">
      <c r="A869" s="173"/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</row>
    <row r="870" ht="15.75" customHeight="1">
      <c r="A870" s="173"/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</row>
    <row r="871" ht="15.75" customHeight="1">
      <c r="A871" s="173"/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</row>
    <row r="872" ht="15.75" customHeight="1">
      <c r="A872" s="173"/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</row>
    <row r="873" ht="15.75" customHeight="1">
      <c r="A873" s="173"/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</row>
    <row r="874" ht="15.75" customHeight="1">
      <c r="A874" s="173"/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</row>
    <row r="875" ht="15.75" customHeight="1">
      <c r="A875" s="173"/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</row>
    <row r="876" ht="15.75" customHeight="1">
      <c r="A876" s="173"/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</row>
    <row r="877" ht="15.75" customHeight="1">
      <c r="A877" s="173"/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</row>
    <row r="878" ht="15.75" customHeight="1">
      <c r="A878" s="173"/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</row>
    <row r="879" ht="15.75" customHeight="1">
      <c r="A879" s="173"/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</row>
    <row r="880" ht="15.75" customHeight="1">
      <c r="A880" s="173"/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</row>
    <row r="881" ht="15.75" customHeight="1">
      <c r="A881" s="173"/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</row>
    <row r="882" ht="15.75" customHeight="1">
      <c r="A882" s="173"/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</row>
    <row r="883" ht="15.75" customHeight="1">
      <c r="A883" s="173"/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</row>
    <row r="884" ht="15.75" customHeight="1">
      <c r="A884" s="173"/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</row>
    <row r="885" ht="15.75" customHeight="1">
      <c r="A885" s="173"/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</row>
    <row r="886" ht="15.75" customHeight="1">
      <c r="A886" s="173"/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</row>
    <row r="887" ht="15.75" customHeight="1">
      <c r="A887" s="173"/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</row>
    <row r="888" ht="15.75" customHeight="1">
      <c r="A888" s="173"/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</row>
    <row r="889" ht="15.75" customHeight="1">
      <c r="A889" s="173"/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</row>
    <row r="890" ht="15.75" customHeight="1">
      <c r="A890" s="173"/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</row>
    <row r="891" ht="15.75" customHeight="1">
      <c r="A891" s="173"/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</row>
    <row r="892" ht="15.75" customHeight="1">
      <c r="A892" s="173"/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</row>
    <row r="893" ht="15.75" customHeight="1">
      <c r="A893" s="173"/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</row>
    <row r="894" ht="15.75" customHeight="1">
      <c r="A894" s="173"/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</row>
    <row r="895" ht="15.75" customHeight="1">
      <c r="A895" s="173"/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</row>
    <row r="896" ht="15.75" customHeight="1">
      <c r="A896" s="173"/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</row>
    <row r="897" ht="15.75" customHeight="1">
      <c r="A897" s="173"/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</row>
    <row r="898" ht="15.75" customHeight="1">
      <c r="A898" s="173"/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</row>
    <row r="899" ht="15.75" customHeight="1">
      <c r="A899" s="173"/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</row>
    <row r="900" ht="15.75" customHeight="1">
      <c r="A900" s="173"/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</row>
    <row r="901" ht="15.75" customHeight="1">
      <c r="A901" s="173"/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</row>
    <row r="902" ht="15.75" customHeight="1">
      <c r="A902" s="173"/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</row>
    <row r="903" ht="15.75" customHeight="1">
      <c r="A903" s="173"/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</row>
    <row r="904" ht="15.75" customHeight="1">
      <c r="A904" s="173"/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</row>
    <row r="905" ht="15.75" customHeight="1">
      <c r="A905" s="173"/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</row>
    <row r="906" ht="15.75" customHeight="1">
      <c r="A906" s="173"/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</row>
    <row r="907" ht="15.75" customHeight="1">
      <c r="A907" s="173"/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</row>
    <row r="908" ht="15.75" customHeight="1">
      <c r="A908" s="173"/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</row>
    <row r="909" ht="15.75" customHeight="1">
      <c r="A909" s="173"/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</row>
    <row r="910" ht="15.75" customHeight="1">
      <c r="A910" s="173"/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</row>
    <row r="911" ht="15.75" customHeight="1">
      <c r="A911" s="173"/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</row>
    <row r="912" ht="15.75" customHeight="1">
      <c r="A912" s="173"/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</row>
    <row r="913" ht="15.75" customHeight="1">
      <c r="A913" s="173"/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</row>
    <row r="914" ht="15.75" customHeight="1">
      <c r="A914" s="173"/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</row>
    <row r="915" ht="15.75" customHeight="1">
      <c r="A915" s="173"/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</row>
    <row r="916" ht="15.75" customHeight="1">
      <c r="A916" s="173"/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</row>
    <row r="917" ht="15.75" customHeight="1">
      <c r="A917" s="173"/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</row>
    <row r="918" ht="15.75" customHeight="1">
      <c r="A918" s="173"/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</row>
    <row r="919" ht="15.75" customHeight="1">
      <c r="A919" s="173"/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</row>
    <row r="920" ht="15.75" customHeight="1">
      <c r="A920" s="173"/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</row>
    <row r="921" ht="15.75" customHeight="1">
      <c r="A921" s="173"/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</row>
    <row r="922" ht="15.75" customHeight="1">
      <c r="A922" s="173"/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</row>
    <row r="923" ht="15.75" customHeight="1">
      <c r="A923" s="173"/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</row>
    <row r="924" ht="15.75" customHeight="1">
      <c r="A924" s="173"/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</row>
    <row r="925" ht="15.75" customHeight="1">
      <c r="A925" s="173"/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</row>
    <row r="926" ht="15.75" customHeight="1">
      <c r="A926" s="173"/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</row>
    <row r="927" ht="15.75" customHeight="1">
      <c r="A927" s="173"/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</row>
    <row r="928" ht="15.75" customHeight="1">
      <c r="A928" s="173"/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</row>
    <row r="929" ht="15.75" customHeight="1">
      <c r="A929" s="173"/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</row>
    <row r="930" ht="15.75" customHeight="1">
      <c r="A930" s="173"/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</row>
    <row r="931" ht="15.75" customHeight="1">
      <c r="A931" s="173"/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</row>
    <row r="932" ht="15.75" customHeight="1">
      <c r="A932" s="173"/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</row>
    <row r="933" ht="15.75" customHeight="1">
      <c r="A933" s="173"/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</row>
    <row r="934" ht="15.75" customHeight="1">
      <c r="A934" s="173"/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</row>
    <row r="935" ht="15.75" customHeight="1">
      <c r="A935" s="173"/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</row>
    <row r="936" ht="15.75" customHeight="1">
      <c r="A936" s="173"/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</row>
    <row r="937" ht="15.75" customHeight="1">
      <c r="A937" s="173"/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</row>
    <row r="938" ht="15.75" customHeight="1">
      <c r="A938" s="173"/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</row>
    <row r="939" ht="15.75" customHeight="1">
      <c r="A939" s="173"/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</row>
    <row r="940" ht="15.75" customHeight="1">
      <c r="A940" s="173"/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</row>
    <row r="941" ht="15.75" customHeight="1">
      <c r="A941" s="173"/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</row>
    <row r="942" ht="15.75" customHeight="1">
      <c r="A942" s="173"/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</row>
    <row r="943" ht="15.75" customHeight="1">
      <c r="A943" s="173"/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</row>
    <row r="944" ht="15.75" customHeight="1">
      <c r="A944" s="173"/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</row>
    <row r="945" ht="15.75" customHeight="1">
      <c r="A945" s="173"/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</row>
    <row r="946" ht="15.75" customHeight="1">
      <c r="A946" s="173"/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</row>
    <row r="947" ht="15.75" customHeight="1">
      <c r="A947" s="173"/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</row>
    <row r="948" ht="15.75" customHeight="1">
      <c r="A948" s="173"/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</row>
    <row r="949" ht="15.75" customHeight="1">
      <c r="A949" s="173"/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</row>
    <row r="950" ht="15.75" customHeight="1">
      <c r="A950" s="173"/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</row>
    <row r="951" ht="15.75" customHeight="1">
      <c r="A951" s="173"/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</row>
    <row r="952" ht="15.75" customHeight="1">
      <c r="A952" s="173"/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</row>
    <row r="953" ht="15.75" customHeight="1">
      <c r="A953" s="173"/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</row>
    <row r="954" ht="15.75" customHeight="1">
      <c r="A954" s="173"/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</row>
    <row r="955" ht="15.75" customHeight="1">
      <c r="A955" s="173"/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</row>
    <row r="956" ht="15.75" customHeight="1">
      <c r="A956" s="173"/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</row>
    <row r="957" ht="15.75" customHeight="1">
      <c r="A957" s="173"/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</row>
    <row r="958" ht="15.75" customHeight="1">
      <c r="A958" s="173"/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</row>
    <row r="959" ht="15.75" customHeight="1">
      <c r="A959" s="173"/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</row>
    <row r="960" ht="15.75" customHeight="1">
      <c r="A960" s="173"/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</row>
    <row r="961" ht="15.75" customHeight="1">
      <c r="A961" s="173"/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</row>
    <row r="962" ht="15.75" customHeight="1">
      <c r="A962" s="173"/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</row>
    <row r="963" ht="15.75" customHeight="1">
      <c r="A963" s="173"/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</row>
    <row r="964" ht="15.75" customHeight="1">
      <c r="A964" s="173"/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</row>
    <row r="965" ht="15.75" customHeight="1">
      <c r="A965" s="173"/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</row>
    <row r="966" ht="15.75" customHeight="1">
      <c r="A966" s="173"/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</row>
    <row r="967" ht="15.75" customHeight="1">
      <c r="A967" s="173"/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</row>
    <row r="968" ht="15.75" customHeight="1">
      <c r="A968" s="173"/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</row>
    <row r="969" ht="15.75" customHeight="1">
      <c r="A969" s="173"/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</row>
    <row r="970" ht="15.75" customHeight="1">
      <c r="A970" s="173"/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</row>
    <row r="971" ht="15.75" customHeight="1">
      <c r="A971" s="173"/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</row>
    <row r="972" ht="15.75" customHeight="1">
      <c r="A972" s="173"/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</row>
    <row r="973" ht="15.75" customHeight="1">
      <c r="A973" s="173"/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</row>
    <row r="974" ht="15.75" customHeight="1">
      <c r="A974" s="173"/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</row>
    <row r="975" ht="15.75" customHeight="1">
      <c r="A975" s="173"/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</row>
    <row r="976" ht="15.75" customHeight="1">
      <c r="A976" s="173"/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</row>
    <row r="977" ht="15.75" customHeight="1">
      <c r="A977" s="173"/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</row>
    <row r="978" ht="15.75" customHeight="1">
      <c r="A978" s="173"/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</row>
    <row r="979" ht="15.75" customHeight="1">
      <c r="A979" s="173"/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</row>
    <row r="980" ht="15.75" customHeight="1">
      <c r="A980" s="173"/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</row>
    <row r="981" ht="15.75" customHeight="1">
      <c r="A981" s="173"/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</row>
    <row r="982" ht="15.75" customHeight="1">
      <c r="A982" s="173"/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</row>
    <row r="983" ht="15.75" customHeight="1">
      <c r="A983" s="173"/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</row>
    <row r="984" ht="15.75" customHeight="1">
      <c r="A984" s="173"/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</row>
    <row r="985" ht="15.75" customHeight="1">
      <c r="A985" s="173"/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</row>
    <row r="986" ht="15.75" customHeight="1">
      <c r="A986" s="173"/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</row>
    <row r="987" ht="15.75" customHeight="1">
      <c r="A987" s="173"/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</row>
    <row r="988" ht="15.75" customHeight="1">
      <c r="A988" s="173"/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</row>
    <row r="989" ht="15.75" customHeight="1">
      <c r="A989" s="173"/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</row>
    <row r="990" ht="15.75" customHeight="1">
      <c r="A990" s="173"/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</row>
    <row r="991" ht="15.75" customHeight="1">
      <c r="A991" s="173"/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</row>
    <row r="992" ht="15.75" customHeight="1">
      <c r="A992" s="173"/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</row>
    <row r="993" ht="15.75" customHeight="1">
      <c r="A993" s="173"/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</row>
    <row r="994" ht="15.75" customHeight="1">
      <c r="A994" s="173"/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</row>
    <row r="995" ht="15.75" customHeight="1">
      <c r="A995" s="173"/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</row>
    <row r="996" ht="15.75" customHeight="1">
      <c r="A996" s="173"/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</row>
    <row r="997" ht="15.75" customHeight="1">
      <c r="A997" s="173"/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</row>
    <row r="998" ht="15.75" customHeight="1">
      <c r="A998" s="173"/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</row>
    <row r="999" ht="15.75" customHeight="1">
      <c r="A999" s="173"/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</row>
    <row r="1000" ht="15.75" customHeight="1">
      <c r="A1000" s="173"/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</row>
  </sheetData>
  <mergeCells count="1">
    <mergeCell ref="D13:F13"/>
  </mergeCells>
  <hyperlinks>
    <hyperlink r:id="rId1" ref="D17"/>
    <hyperlink r:id="rId2" ref="F17"/>
    <hyperlink r:id="rId3" ref="D18"/>
    <hyperlink r:id="rId4" ref="F18"/>
    <hyperlink r:id="rId5" ref="D19"/>
    <hyperlink r:id="rId6" ref="F19"/>
    <hyperlink r:id="rId7" ref="D20"/>
    <hyperlink r:id="rId8" ref="F20"/>
    <hyperlink r:id="rId9" ref="D21"/>
  </hyperlinks>
  <printOptions/>
  <pageMargins bottom="0.75" footer="0.0" header="0.0" left="0.7" right="0.7" top="0.75"/>
  <pageSetup orientation="portrait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1.38"/>
    <col customWidth="1" min="3" max="3" width="10.88"/>
    <col customWidth="1" min="4" max="8" width="8.88"/>
    <col customWidth="1" min="9" max="26" width="7.75"/>
  </cols>
  <sheetData>
    <row r="1" ht="12.75" customHeight="1">
      <c r="A1" s="116" t="s">
        <v>118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ht="12.75" customHeight="1">
      <c r="A2" s="116" t="s">
        <v>176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ht="12.75" customHeight="1">
      <c r="A4" s="118" t="s">
        <v>177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ht="12.75" customHeight="1">
      <c r="A5" s="118" t="s">
        <v>178</v>
      </c>
      <c r="B5" s="118"/>
      <c r="C5" s="194">
        <f>'LBO Modelling'!C6</f>
        <v>12</v>
      </c>
      <c r="D5" s="194"/>
      <c r="E5" s="118"/>
      <c r="F5" s="118"/>
      <c r="G5" s="118"/>
      <c r="H5" s="118"/>
      <c r="I5" s="118"/>
      <c r="J5" s="118"/>
      <c r="K5" s="118"/>
      <c r="L5" s="118"/>
      <c r="M5" s="118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ht="12.75" customHeight="1">
      <c r="A6" s="118" t="s">
        <v>179</v>
      </c>
      <c r="B6" s="118"/>
      <c r="C6" s="194">
        <f>+DCF!D8</f>
        <v>39.62424916</v>
      </c>
      <c r="D6" s="194"/>
      <c r="E6" s="118"/>
      <c r="F6" s="118"/>
      <c r="G6" s="118"/>
      <c r="H6" s="118"/>
      <c r="I6" s="118"/>
      <c r="J6" s="118"/>
      <c r="K6" s="118"/>
      <c r="L6" s="118"/>
      <c r="M6" s="118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ht="12.75" customHeight="1">
      <c r="A7" s="118" t="s">
        <v>180</v>
      </c>
      <c r="B7" s="118"/>
      <c r="C7" s="194">
        <f>+C5</f>
        <v>12</v>
      </c>
      <c r="D7" s="194"/>
      <c r="E7" s="118"/>
      <c r="F7" s="118"/>
      <c r="G7" s="118"/>
      <c r="H7" s="118"/>
      <c r="I7" s="118"/>
      <c r="J7" s="118"/>
      <c r="K7" s="118"/>
      <c r="L7" s="118"/>
      <c r="M7" s="118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ht="12.75" customHeight="1">
      <c r="A8" s="118" t="s">
        <v>181</v>
      </c>
      <c r="B8" s="118"/>
      <c r="C8" s="195">
        <f>DCF!I8</f>
        <v>59.77443697</v>
      </c>
      <c r="D8" s="194"/>
      <c r="E8" s="118"/>
      <c r="F8" s="118"/>
      <c r="G8" s="118"/>
      <c r="H8" s="118"/>
      <c r="I8" s="118"/>
      <c r="J8" s="118"/>
      <c r="K8" s="118"/>
      <c r="L8" s="118"/>
      <c r="M8" s="118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ht="12.75" customHeight="1">
      <c r="A9" s="118" t="s">
        <v>182</v>
      </c>
      <c r="B9" s="118"/>
      <c r="C9" s="195">
        <f>+C7*C8</f>
        <v>717.2932436</v>
      </c>
      <c r="D9" s="194"/>
      <c r="E9" s="118"/>
      <c r="F9" s="118"/>
      <c r="G9" s="118"/>
      <c r="H9" s="118"/>
      <c r="I9" s="118"/>
      <c r="J9" s="118"/>
      <c r="K9" s="118"/>
      <c r="L9" s="118"/>
      <c r="M9" s="118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ht="12.75" customHeight="1">
      <c r="A10" s="118" t="s">
        <v>183</v>
      </c>
      <c r="B10" s="118"/>
      <c r="C10" s="195">
        <f>+'Balance Sheet'!M23-'Balance Sheet'!M13</f>
        <v>77.96479924</v>
      </c>
      <c r="D10" s="194"/>
      <c r="E10" s="118"/>
      <c r="F10" s="118"/>
      <c r="G10" s="118"/>
      <c r="H10" s="118"/>
      <c r="I10" s="118"/>
      <c r="J10" s="118"/>
      <c r="K10" s="118"/>
      <c r="L10" s="118"/>
      <c r="M10" s="118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ht="12.75" customHeight="1">
      <c r="A11" s="118" t="s">
        <v>184</v>
      </c>
      <c r="B11" s="118"/>
      <c r="C11" s="195">
        <f>+C9-C10</f>
        <v>639.3284444</v>
      </c>
      <c r="D11" s="194"/>
      <c r="E11" s="118"/>
      <c r="F11" s="118"/>
      <c r="G11" s="118"/>
      <c r="H11" s="118"/>
      <c r="I11" s="118"/>
      <c r="J11" s="118"/>
      <c r="K11" s="118"/>
      <c r="L11" s="118"/>
      <c r="M11" s="118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ht="12.7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ht="12.75" customHeight="1">
      <c r="A13" s="119" t="str">
        <f>'Balance Sheet'!B4</f>
        <v>(YE 31-Dec, USDm)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ht="12.75" customHeight="1">
      <c r="A14" s="118"/>
      <c r="B14" s="118"/>
      <c r="C14" s="196">
        <v>40908.0</v>
      </c>
      <c r="D14" s="196">
        <f>+C14+366</f>
        <v>41274</v>
      </c>
      <c r="E14" s="196">
        <f t="shared" ref="E14:G14" si="1">+D14+365</f>
        <v>41639</v>
      </c>
      <c r="F14" s="196">
        <f t="shared" si="1"/>
        <v>42004</v>
      </c>
      <c r="G14" s="196">
        <f t="shared" si="1"/>
        <v>42369</v>
      </c>
      <c r="H14" s="196">
        <f>+G14+366</f>
        <v>42735</v>
      </c>
      <c r="I14" s="196">
        <f t="shared" ref="I14:M14" si="2">+H14+1</f>
        <v>42736</v>
      </c>
      <c r="J14" s="196">
        <f t="shared" si="2"/>
        <v>42737</v>
      </c>
      <c r="K14" s="196">
        <f t="shared" si="2"/>
        <v>42738</v>
      </c>
      <c r="L14" s="196">
        <f t="shared" si="2"/>
        <v>42739</v>
      </c>
      <c r="M14" s="196">
        <f t="shared" si="2"/>
        <v>42740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ht="12.75" customHeight="1">
      <c r="A15" s="118"/>
      <c r="B15" s="118"/>
      <c r="C15" s="21">
        <f>+'Balance Sheet'!G4</f>
        <v>2011</v>
      </c>
      <c r="D15" s="22">
        <f>+'Balance Sheet'!I4</f>
        <v>2012</v>
      </c>
      <c r="E15" s="23">
        <f>+'Balance Sheet'!J4</f>
        <v>2013</v>
      </c>
      <c r="F15" s="23">
        <f>+'Balance Sheet'!K4</f>
        <v>2014</v>
      </c>
      <c r="G15" s="23">
        <f>+'Balance Sheet'!L4</f>
        <v>2015</v>
      </c>
      <c r="H15" s="23">
        <f>+'Balance Sheet'!M4</f>
        <v>2016</v>
      </c>
      <c r="I15" s="23">
        <f>+'Balance Sheet'!N4</f>
        <v>2017</v>
      </c>
      <c r="J15" s="23">
        <f>+'Balance Sheet'!O4</f>
        <v>2018</v>
      </c>
      <c r="K15" s="23">
        <f>+'Balance Sheet'!P4</f>
        <v>2019</v>
      </c>
      <c r="L15" s="23">
        <f>+'Balance Sheet'!Q4</f>
        <v>2020</v>
      </c>
      <c r="M15" s="23">
        <f>+'Balance Sheet'!R4</f>
        <v>2021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ht="12.75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ht="12.75" customHeight="1">
      <c r="A17" s="197" t="s">
        <v>162</v>
      </c>
      <c r="B17" s="125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ht="12.75" customHeight="1">
      <c r="A18" s="118" t="s">
        <v>185</v>
      </c>
      <c r="B18" s="127"/>
      <c r="C18" s="200">
        <f>-'LBO Modelling'!D12</f>
        <v>-240.4949899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ht="12.75" customHeight="1">
      <c r="A19" s="118" t="s">
        <v>186</v>
      </c>
      <c r="B19" s="129"/>
      <c r="C19" s="200"/>
      <c r="D19" s="201"/>
      <c r="E19" s="201"/>
      <c r="F19" s="201"/>
      <c r="G19" s="201"/>
      <c r="H19" s="201">
        <f>+C11</f>
        <v>639.3284444</v>
      </c>
      <c r="I19" s="201"/>
      <c r="J19" s="201"/>
      <c r="K19" s="201"/>
      <c r="L19" s="201"/>
      <c r="M19" s="201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ht="12.75" customHeight="1">
      <c r="A20" s="127" t="s">
        <v>187</v>
      </c>
      <c r="B20" s="127"/>
      <c r="C20" s="202">
        <f t="shared" ref="C20:H20" si="3">+C17+C18+C19</f>
        <v>-240.4949899</v>
      </c>
      <c r="D20" s="202">
        <f t="shared" si="3"/>
        <v>0</v>
      </c>
      <c r="E20" s="202">
        <f t="shared" si="3"/>
        <v>0</v>
      </c>
      <c r="F20" s="202">
        <f t="shared" si="3"/>
        <v>0</v>
      </c>
      <c r="G20" s="202">
        <f t="shared" si="3"/>
        <v>0</v>
      </c>
      <c r="H20" s="202">
        <f t="shared" si="3"/>
        <v>639.3284444</v>
      </c>
      <c r="I20" s="201"/>
      <c r="J20" s="201"/>
      <c r="K20" s="201"/>
      <c r="L20" s="201"/>
      <c r="M20" s="201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ht="12.75" customHeight="1">
      <c r="A21" s="118"/>
      <c r="B21" s="118"/>
      <c r="C21" s="11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ht="12.75" customHeight="1">
      <c r="A22" s="203" t="s">
        <v>188</v>
      </c>
      <c r="B22" s="204"/>
      <c r="C22" s="205">
        <f>+XIRR(C20:H20,C14:H14)</f>
        <v>0.2157118044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ht="12.75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ht="12.75" customHeight="1">
      <c r="A24" s="123"/>
      <c r="B24" s="123"/>
      <c r="C24" s="123"/>
      <c r="D24" s="123">
        <v>1.0</v>
      </c>
      <c r="E24" s="123">
        <f t="shared" ref="E24:H24" si="4">+D24+1</f>
        <v>2</v>
      </c>
      <c r="F24" s="123">
        <f t="shared" si="4"/>
        <v>3</v>
      </c>
      <c r="G24" s="123">
        <f t="shared" si="4"/>
        <v>4</v>
      </c>
      <c r="H24" s="123">
        <f t="shared" si="4"/>
        <v>5</v>
      </c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ht="12.75" customHeight="1">
      <c r="A25" s="118"/>
      <c r="B25" s="118"/>
      <c r="C25" s="21">
        <v>2011.0</v>
      </c>
      <c r="D25" s="22">
        <v>2012.0</v>
      </c>
      <c r="E25" s="23">
        <v>2013.0</v>
      </c>
      <c r="F25" s="23">
        <v>2014.0</v>
      </c>
      <c r="G25" s="23">
        <v>2015.0</v>
      </c>
      <c r="H25" s="23">
        <v>2016.0</v>
      </c>
      <c r="I25" s="23">
        <v>2017.0</v>
      </c>
      <c r="J25" s="23">
        <v>2018.0</v>
      </c>
      <c r="K25" s="23">
        <v>2019.0</v>
      </c>
      <c r="L25" s="23">
        <v>2020.0</v>
      </c>
      <c r="M25" s="23">
        <v>2021.0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ht="12.7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ht="12.75" customHeight="1">
      <c r="A27" s="127" t="s">
        <v>187</v>
      </c>
      <c r="B27" s="127"/>
      <c r="C27" s="202"/>
      <c r="D27" s="202"/>
      <c r="E27" s="202"/>
      <c r="F27" s="202"/>
      <c r="G27" s="202"/>
      <c r="H27" s="202">
        <f>+H20</f>
        <v>639.3284444</v>
      </c>
      <c r="I27" s="201"/>
      <c r="J27" s="201"/>
      <c r="K27" s="201"/>
      <c r="L27" s="201"/>
      <c r="M27" s="201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ht="12.75" customHeight="1">
      <c r="A28" s="127"/>
      <c r="B28" s="127"/>
      <c r="C28" s="202"/>
      <c r="D28" s="202"/>
      <c r="E28" s="202"/>
      <c r="F28" s="202"/>
      <c r="G28" s="202"/>
      <c r="H28" s="202"/>
      <c r="I28" s="201"/>
      <c r="J28" s="201"/>
      <c r="K28" s="201"/>
      <c r="L28" s="201"/>
      <c r="M28" s="201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ht="12.75" customHeight="1">
      <c r="A29" s="129" t="s">
        <v>123</v>
      </c>
      <c r="B29" s="129"/>
      <c r="C29" s="129"/>
      <c r="D29" s="31">
        <f t="shared" ref="D29:H29" si="5">1/((1+$C$34)^D24)</f>
        <v>0.8225633725</v>
      </c>
      <c r="E29" s="31">
        <f t="shared" si="5"/>
        <v>0.6766105017</v>
      </c>
      <c r="F29" s="31">
        <f t="shared" si="5"/>
        <v>0.5565550161</v>
      </c>
      <c r="G29" s="31">
        <f t="shared" si="5"/>
        <v>0.457801771</v>
      </c>
      <c r="H29" s="31">
        <f t="shared" si="5"/>
        <v>0.3765709687</v>
      </c>
      <c r="I29" s="31"/>
      <c r="J29" s="31"/>
      <c r="K29" s="31"/>
      <c r="L29" s="31"/>
      <c r="M29" s="31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ht="12.75" customHeight="1">
      <c r="A30" s="118"/>
      <c r="B30" s="118"/>
      <c r="C30" s="11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ht="12.75" customHeight="1">
      <c r="A31" s="118" t="s">
        <v>124</v>
      </c>
      <c r="B31" s="118"/>
      <c r="C31" s="118"/>
      <c r="D31" s="30">
        <f t="shared" ref="D31:M31" si="6">+D27*D29</f>
        <v>0</v>
      </c>
      <c r="E31" s="30">
        <f t="shared" si="6"/>
        <v>0</v>
      </c>
      <c r="F31" s="30">
        <f t="shared" si="6"/>
        <v>0</v>
      </c>
      <c r="G31" s="30">
        <f t="shared" si="6"/>
        <v>0</v>
      </c>
      <c r="H31" s="30">
        <f t="shared" si="6"/>
        <v>240.7525316</v>
      </c>
      <c r="I31" s="30">
        <f t="shared" si="6"/>
        <v>0</v>
      </c>
      <c r="J31" s="30">
        <f t="shared" si="6"/>
        <v>0</v>
      </c>
      <c r="K31" s="30">
        <f t="shared" si="6"/>
        <v>0</v>
      </c>
      <c r="L31" s="30">
        <f t="shared" si="6"/>
        <v>0</v>
      </c>
      <c r="M31" s="30">
        <f t="shared" si="6"/>
        <v>0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ht="12.75" customHeight="1">
      <c r="A32" s="118"/>
      <c r="B32" s="118"/>
      <c r="C32" s="11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ht="12.75" customHeight="1">
      <c r="A33" s="118"/>
      <c r="B33" s="118"/>
      <c r="C33" s="11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ht="12.75" customHeight="1">
      <c r="A34" s="203" t="s">
        <v>188</v>
      </c>
      <c r="B34" s="204"/>
      <c r="C34" s="205">
        <v>0.2157118022441864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ht="12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ht="12.75" customHeight="1">
      <c r="A36" s="123" t="s">
        <v>189</v>
      </c>
      <c r="B36" s="123"/>
      <c r="C36" s="30">
        <f>+SUM(D31:H31)</f>
        <v>240.7525316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ht="12.75" customHeight="1">
      <c r="A37" s="123" t="s">
        <v>90</v>
      </c>
      <c r="B37" s="123"/>
      <c r="C37" s="30">
        <f>+DCF!C36</f>
        <v>234.996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ht="12.75" customHeight="1">
      <c r="A38" s="206" t="s">
        <v>190</v>
      </c>
      <c r="B38" s="206"/>
      <c r="C38" s="28">
        <f>C36+C37</f>
        <v>475.7485316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ht="12.75" customHeight="1">
      <c r="A39" s="206" t="s">
        <v>191</v>
      </c>
      <c r="B39" s="206"/>
      <c r="C39" s="207">
        <f>+C38/DCF!D8</f>
        <v>12.0064996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ht="12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ht="12.7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ht="12.75" customHeight="1">
      <c r="A42" s="123"/>
      <c r="B42" s="123"/>
      <c r="C42" s="117" t="s">
        <v>192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ht="12.75" customHeight="1">
      <c r="A43" s="123"/>
      <c r="B43" s="123"/>
      <c r="C43" s="208">
        <v>0.15</v>
      </c>
      <c r="D43" s="48">
        <f t="shared" ref="D43:I43" si="7">+C43+0.01</f>
        <v>0.16</v>
      </c>
      <c r="E43" s="48">
        <f t="shared" si="7"/>
        <v>0.17</v>
      </c>
      <c r="F43" s="48">
        <f t="shared" si="7"/>
        <v>0.18</v>
      </c>
      <c r="G43" s="48">
        <f t="shared" si="7"/>
        <v>0.19</v>
      </c>
      <c r="H43" s="208">
        <f t="shared" si="7"/>
        <v>0.2</v>
      </c>
      <c r="I43" s="48">
        <f t="shared" si="7"/>
        <v>0.21</v>
      </c>
      <c r="J43" s="208">
        <v>0.2157118022441864</v>
      </c>
      <c r="K43" s="48">
        <f t="shared" ref="K43:L43" si="8">+J43+0.01</f>
        <v>0.2257118022</v>
      </c>
      <c r="L43" s="48">
        <f t="shared" si="8"/>
        <v>0.2357118022</v>
      </c>
      <c r="M43" s="208">
        <v>0.25</v>
      </c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ht="12.75" customHeight="1">
      <c r="A44" s="209" t="s">
        <v>193</v>
      </c>
      <c r="B44" s="210">
        <f>+C38</f>
        <v>475.7485316</v>
      </c>
      <c r="C44" s="211">
        <v>552.8552287671404</v>
      </c>
      <c r="D44" s="212">
        <v>539.3885935004959</v>
      </c>
      <c r="E44" s="212">
        <v>526.6008334937485</v>
      </c>
      <c r="F44" s="212">
        <v>514.4523552428973</v>
      </c>
      <c r="G44" s="212">
        <v>502.9061824416023</v>
      </c>
      <c r="H44" s="211">
        <v>491.9277629541194</v>
      </c>
      <c r="I44" s="212">
        <v>481.4847914775261</v>
      </c>
      <c r="J44" s="211">
        <v>475.7485316276276</v>
      </c>
      <c r="K44" s="212">
        <v>466.08655075116474</v>
      </c>
      <c r="L44" s="212">
        <v>456.88616542462773</v>
      </c>
      <c r="M44" s="211">
        <v>444.49114465902403</v>
      </c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ht="12.7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ht="12.7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ht="12.7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ht="12.7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ht="12.7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ht="12.7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ht="12.7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ht="12.7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ht="12.7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12.7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ht="12.7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ht="12.7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ht="12.7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ht="12.7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ht="12.7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ht="12.75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ht="12.75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ht="12.75" customHeigh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ht="12.75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ht="12.7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ht="12.75" customHeight="1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ht="12.75" customHeight="1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ht="12.75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ht="12.75" customHeight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ht="12.75" customHeight="1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ht="12.75" customHeight="1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ht="12.75" customHeight="1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ht="12.75" customHeight="1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ht="12.75" customHeight="1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ht="12.75" customHeight="1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ht="12.75" customHeight="1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ht="12.75" customHeight="1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ht="12.75" customHeigh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ht="12.75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ht="12.75" customHeight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ht="12.75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ht="12.75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ht="12.75" customHeight="1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ht="12.75" customHeight="1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ht="12.75" customHeight="1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ht="12.75" customHeight="1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ht="12.75" customHeight="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ht="12.75" customHeight="1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ht="12.75" customHeight="1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ht="12.75" customHeight="1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ht="12.75" customHeight="1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ht="12.75" customHeight="1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ht="12.75" customHeight="1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ht="12.75" customHeight="1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ht="12.75" customHeight="1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ht="12.75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ht="12.75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ht="12.75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ht="12.75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ht="12.75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ht="12.75" customHeigh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ht="12.75" customHeigh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ht="12.75" customHeigh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ht="12.75" customHeigh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ht="12.75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ht="12.7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ht="12.7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ht="12.7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ht="12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ht="12.7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ht="12.7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ht="12.7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ht="12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ht="12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ht="12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ht="12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ht="12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ht="12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ht="12.75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ht="12.7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ht="12.75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ht="12.75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ht="12.75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ht="12.75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ht="12.75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ht="12.75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ht="12.75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ht="12.75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ht="12.7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ht="12.75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ht="12.75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ht="12.75" customHeigh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ht="12.75" customHeigh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ht="12.75" customHeigh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ht="12.75" customHeigh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ht="12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ht="12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ht="12.7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ht="12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ht="12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ht="12.7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ht="12.7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ht="12.7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ht="12.7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ht="12.7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ht="12.7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ht="12.7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ht="12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ht="12.7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ht="12.7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ht="12.7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ht="12.7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ht="12.7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ht="12.7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ht="12.7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ht="12.7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ht="12.75" customHeigh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ht="12.75" customHeigh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ht="12.7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ht="12.7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ht="12.7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ht="12.75" customHeigh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ht="12.7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ht="12.75" customHeigh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ht="12.75" customHeigh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ht="12.75" customHeigh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ht="12.75" customHeigh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ht="12.75" customHeigh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ht="12.75" customHeigh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ht="12.7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ht="12.7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ht="12.75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ht="12.7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ht="12.75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ht="12.75" customHeigh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ht="12.75" customHeigh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ht="12.75" customHeigh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ht="12.75" customHeigh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ht="12.75" customHeigh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ht="12.75" customHeigh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ht="12.7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ht="12.75" customHeigh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ht="12.7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ht="12.75" customHeigh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ht="12.7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ht="12.75" customHeigh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ht="12.75" customHeigh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ht="12.75" customHeigh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ht="12.75" customHeigh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ht="12.75" customHeigh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ht="12.75" customHeigh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ht="12.75" customHeigh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ht="12.75" customHeigh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ht="12.75" customHeigh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ht="12.75" customHeigh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ht="12.75" customHeigh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ht="12.75" customHeigh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ht="12.75" customHeigh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ht="12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ht="12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ht="12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ht="12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ht="12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ht="12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ht="12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ht="12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ht="12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ht="12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ht="12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ht="12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ht="12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ht="12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ht="12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ht="12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ht="12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ht="12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ht="12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ht="12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ht="12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ht="12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ht="12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ht="12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ht="12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ht="12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ht="12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ht="12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ht="12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ht="12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ht="12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ht="12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ht="12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ht="12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ht="12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ht="12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ht="12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ht="12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ht="12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ht="12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ht="12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ht="12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ht="12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ht="12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ht="12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ht="12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ht="12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ht="12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ht="12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ht="12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ht="12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ht="12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ht="12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ht="12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ht="12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ht="12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ht="12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ht="12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ht="12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ht="12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ht="12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ht="12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ht="12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ht="12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ht="12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ht="12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ht="12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ht="12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ht="12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ht="12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ht="12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ht="12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ht="12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ht="12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ht="12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ht="12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ht="12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ht="12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ht="12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ht="12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ht="12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ht="12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ht="12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ht="12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ht="12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ht="12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ht="12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ht="12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ht="12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ht="12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ht="12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ht="12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ht="12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ht="12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ht="12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ht="12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ht="12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ht="12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ht="12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ht="12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ht="12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ht="12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ht="12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ht="12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ht="12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ht="12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ht="12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ht="12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ht="12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ht="12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ht="12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ht="12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ht="12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ht="12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ht="12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ht="12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ht="12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ht="12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ht="12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ht="12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ht="12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ht="12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ht="12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ht="12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ht="12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ht="12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ht="12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ht="12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ht="12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ht="12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ht="12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ht="12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ht="12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ht="12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ht="12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ht="12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ht="12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ht="12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ht="12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ht="12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ht="12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ht="12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ht="12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ht="12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ht="12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ht="12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ht="12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ht="12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ht="12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ht="12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ht="12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ht="12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ht="12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ht="12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ht="12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ht="12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ht="12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ht="12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ht="12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ht="12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ht="12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ht="12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ht="12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ht="12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ht="12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ht="12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ht="12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ht="12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ht="12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ht="12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ht="12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ht="12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ht="12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ht="12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ht="12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ht="12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ht="12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ht="12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ht="12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ht="12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ht="12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ht="12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ht="12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ht="12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ht="12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ht="12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ht="12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ht="12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ht="12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ht="12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ht="12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ht="12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ht="12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ht="12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ht="12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ht="12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ht="12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ht="12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ht="12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ht="12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ht="12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ht="12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ht="12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ht="12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ht="12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ht="12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ht="12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ht="12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ht="12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ht="12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ht="12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ht="12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ht="12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ht="12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ht="12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ht="12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ht="12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ht="12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ht="12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ht="12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ht="12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ht="12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ht="12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ht="12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ht="12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ht="12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ht="12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ht="12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ht="12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ht="12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ht="12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ht="12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ht="12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ht="12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ht="12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ht="12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ht="12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ht="12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ht="12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ht="12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ht="12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ht="12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ht="12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ht="12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ht="12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ht="12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ht="12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ht="12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ht="12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ht="12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ht="12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ht="12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ht="12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ht="12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ht="12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ht="12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ht="12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ht="12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ht="12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ht="12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ht="12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ht="12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ht="12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ht="12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ht="12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ht="12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ht="12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ht="12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ht="12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ht="12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ht="12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ht="12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ht="12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ht="12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ht="12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ht="12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ht="12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ht="12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ht="12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ht="12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ht="12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ht="12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ht="12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ht="12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ht="12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ht="12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ht="12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ht="12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ht="12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ht="12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ht="12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ht="12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ht="12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ht="12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ht="12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ht="12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ht="12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ht="12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ht="12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ht="12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ht="12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ht="12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ht="12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ht="12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ht="12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ht="12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ht="12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ht="12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ht="12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ht="12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ht="12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ht="12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ht="12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ht="12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ht="12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ht="12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ht="12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ht="12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ht="12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ht="12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ht="12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ht="12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ht="12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ht="12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ht="12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ht="12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ht="12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ht="12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ht="12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ht="12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ht="12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ht="12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ht="12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ht="12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ht="12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ht="12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ht="12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ht="12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ht="12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ht="12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ht="12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ht="12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ht="12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ht="12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ht="12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ht="12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ht="12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ht="12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ht="12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ht="12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ht="12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ht="12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ht="12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ht="12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ht="12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ht="12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ht="12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ht="12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ht="12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ht="12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ht="12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ht="12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ht="12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ht="12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ht="12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ht="12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ht="12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ht="12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ht="12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ht="12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ht="12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ht="12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ht="12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ht="12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ht="12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ht="12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ht="12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ht="12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ht="12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ht="12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ht="12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ht="12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ht="12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ht="12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ht="12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ht="12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ht="12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ht="12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ht="12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ht="12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ht="12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ht="12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ht="12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ht="12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ht="12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ht="12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ht="12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ht="12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ht="12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ht="12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ht="12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ht="12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ht="12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ht="12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ht="12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ht="12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ht="12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ht="12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ht="12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ht="12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ht="12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ht="12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ht="12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ht="12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ht="12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ht="12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ht="12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ht="12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ht="12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ht="12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ht="12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ht="12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ht="12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ht="12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ht="12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ht="12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ht="12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ht="12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ht="12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ht="12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ht="12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ht="12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ht="12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ht="12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ht="12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ht="12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ht="12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ht="12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ht="12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ht="12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ht="12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ht="12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ht="12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ht="12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ht="12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ht="12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ht="12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ht="12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ht="12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ht="12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ht="12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ht="12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ht="12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ht="12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ht="12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ht="12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ht="12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ht="12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ht="12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ht="12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ht="12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ht="12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ht="12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ht="12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ht="12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ht="12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ht="12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ht="12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ht="12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ht="12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ht="12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ht="12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ht="12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ht="12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ht="12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ht="12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ht="12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ht="12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ht="12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ht="12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ht="12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ht="12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ht="12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ht="12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ht="12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ht="12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ht="12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ht="12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ht="12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ht="12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ht="12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ht="12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ht="12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ht="12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ht="12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ht="12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ht="12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ht="12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ht="12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ht="12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ht="12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ht="12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ht="12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ht="12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ht="12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ht="12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ht="12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ht="12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ht="12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ht="12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ht="12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ht="12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ht="12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ht="12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ht="12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ht="12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ht="12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ht="12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ht="12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ht="12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ht="12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ht="12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ht="12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ht="12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ht="12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ht="12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ht="12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ht="12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ht="12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ht="12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ht="12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ht="12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ht="12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ht="12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ht="12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ht="12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ht="12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ht="12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ht="12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ht="12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ht="12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ht="12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ht="12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ht="12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ht="12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ht="12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ht="12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ht="12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ht="12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ht="12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ht="12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ht="12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ht="12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ht="12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ht="12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ht="12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ht="12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ht="12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ht="12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ht="12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ht="12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ht="12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ht="12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ht="12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ht="12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ht="12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ht="12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ht="12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ht="12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ht="12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ht="12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ht="12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ht="12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ht="12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ht="12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ht="12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ht="12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ht="12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ht="12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ht="12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ht="12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ht="12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ht="12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ht="12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ht="12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ht="12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ht="12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ht="12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ht="12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ht="12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ht="12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ht="12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ht="12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ht="12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ht="12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ht="12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ht="12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ht="12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ht="12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ht="12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ht="12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ht="12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ht="12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ht="12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ht="12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ht="12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ht="12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ht="12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ht="12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ht="12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ht="12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ht="12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ht="12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ht="12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ht="12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ht="12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ht="12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ht="12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ht="12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ht="12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ht="12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ht="12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ht="12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ht="12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ht="12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ht="12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ht="12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ht="12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ht="12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ht="12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ht="12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ht="12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ht="12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ht="12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ht="12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ht="12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ht="12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ht="12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ht="12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ht="12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ht="12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ht="12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ht="12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ht="12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ht="12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ht="12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ht="12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ht="12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ht="12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ht="12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ht="12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ht="12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ht="12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ht="12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ht="12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ht="12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ht="12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ht="12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ht="12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ht="12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ht="12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ht="12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ht="12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ht="12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ht="12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ht="12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ht="12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ht="12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ht="12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ht="12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ht="12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ht="12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ht="12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ht="12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ht="12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ht="12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ht="12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ht="12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ht="12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ht="12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ht="12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ht="12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ht="12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ht="12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ht="12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ht="12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ht="12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ht="12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ht="12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ht="12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ht="12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ht="12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ht="12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ht="12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ht="12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ht="12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ht="12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ht="12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ht="12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ht="12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ht="12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ht="12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ht="12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ht="12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ht="12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ht="12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ht="12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ht="12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ht="12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ht="12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ht="12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ht="12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ht="12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ht="12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ht="12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ht="12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ht="12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ht="12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ht="12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ht="12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ht="12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ht="12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ht="12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ht="12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ht="12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ht="12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ht="12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ht="12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ht="12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ht="12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ht="12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ht="12.75" customHeight="1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ht="12.75" customHeight="1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ht="12.75" customHeight="1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ht="12.75" customHeight="1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ht="12.75" customHeight="1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ht="12.75" customHeight="1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ht="12.75" customHeight="1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ht="12.75" customHeight="1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ht="12.75" customHeight="1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ht="12.75" customHeight="1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ht="12.75" customHeight="1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ht="12.75" customHeight="1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ht="12.75" customHeight="1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ht="12.75" customHeight="1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ht="12.75" customHeight="1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ht="12.75" customHeight="1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ht="12.75" customHeight="1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ht="12.75" customHeight="1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ht="12.75" customHeight="1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ht="12.75" customHeight="1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ht="12.75" customHeight="1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ht="12.75" customHeight="1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ht="12.75" customHeight="1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ht="12.75" customHeight="1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ht="12.75" customHeight="1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ht="12.75" customHeight="1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ht="12.75" customHeight="1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ht="12.75" customHeight="1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ht="12.75" customHeight="1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ht="12.75" customHeight="1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ht="12.75" customHeight="1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ht="12.75" customHeight="1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ht="12.75" customHeight="1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ht="12.75" customHeight="1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ht="12.75" customHeight="1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ht="12.75" customHeight="1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ht="12.75" customHeight="1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ht="12.75" customHeight="1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ht="12.75" customHeight="1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ht="12.75" customHeight="1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ht="12.75" customHeight="1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ht="12.75" customHeight="1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ht="12.75" customHeight="1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ht="12.75" customHeight="1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ht="12.75" customHeight="1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ht="12.75" customHeight="1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ht="12.75" customHeight="1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ht="12.75" customHeight="1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printOptions/>
  <pageMargins bottom="1.0" footer="0.0" header="0.0" left="0.75" right="0.75" top="1.0"/>
  <pageSetup paperSize="9" scale="63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88"/>
    <col customWidth="1" min="2" max="2" width="17.75"/>
    <col customWidth="1" min="3" max="26" width="7.75"/>
  </cols>
  <sheetData>
    <row r="1" ht="12.7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ht="12.75" customHeight="1">
      <c r="A2" s="123"/>
      <c r="B2" s="213" t="s">
        <v>194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ht="12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ht="12.75" customHeight="1">
      <c r="A4" s="123"/>
      <c r="B4" s="123" t="s">
        <v>195</v>
      </c>
      <c r="C4" s="214">
        <v>0.4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ht="12.75" customHeight="1">
      <c r="A5" s="123"/>
      <c r="B5" s="123" t="s">
        <v>196</v>
      </c>
      <c r="C5" s="43">
        <f>1-C4</f>
        <v>0.6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ht="12.75" customHeight="1">
      <c r="A6" s="123"/>
      <c r="B6" s="123"/>
      <c r="C6" s="4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ht="12.75" customHeight="1">
      <c r="A7" s="123"/>
      <c r="B7" s="123" t="s">
        <v>197</v>
      </c>
      <c r="C7" s="215">
        <v>0.15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ht="12.75" customHeight="1">
      <c r="A8" s="123"/>
      <c r="B8" s="123" t="s">
        <v>198</v>
      </c>
      <c r="C8" s="215">
        <f>+'LBO Modelling'!G11</f>
        <v>0.06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ht="12.75" customHeight="1">
      <c r="A9" s="123"/>
      <c r="B9" s="123" t="s">
        <v>199</v>
      </c>
      <c r="C9" s="43">
        <f>+C8</f>
        <v>0.06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ht="12.75" customHeight="1">
      <c r="A10" s="123"/>
      <c r="B10" s="123"/>
      <c r="C10" s="4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ht="12.75" customHeight="1">
      <c r="A11" s="123"/>
      <c r="B11" s="116" t="s">
        <v>125</v>
      </c>
      <c r="C11" s="216">
        <f>+(C7*C5)+(C4*C9)</f>
        <v>0.114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ht="12.7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ht="12.7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ht="12.75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ht="12.7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ht="12.7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ht="12.7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ht="12.7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ht="12.75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ht="12.7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ht="12.75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ht="12.75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ht="12.75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ht="12.75" customHeigh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ht="12.7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ht="12.7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ht="12.75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ht="12.7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ht="12.7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ht="12.7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ht="12.7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ht="12.7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ht="12.7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ht="12.7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ht="12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ht="12.7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ht="12.7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ht="12.7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ht="12.7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ht="12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ht="12.7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ht="12.7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ht="12.7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ht="12.7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ht="12.7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ht="12.7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ht="12.7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ht="12.7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ht="12.7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ht="12.7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ht="12.7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ht="12.7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ht="12.7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12.7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ht="12.7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ht="12.7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ht="12.7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ht="12.7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ht="12.7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ht="12.75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ht="12.75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ht="12.75" customHeigh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ht="12.75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ht="12.7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ht="12.75" customHeight="1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ht="12.75" customHeight="1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ht="12.75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ht="12.75" customHeight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ht="12.75" customHeight="1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ht="12.75" customHeight="1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ht="12.75" customHeight="1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ht="12.75" customHeight="1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ht="12.75" customHeight="1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ht="12.75" customHeight="1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ht="12.75" customHeight="1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ht="12.75" customHeight="1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ht="12.75" customHeigh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ht="12.75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ht="12.75" customHeight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ht="12.75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ht="12.75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ht="12.75" customHeight="1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ht="12.75" customHeight="1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ht="12.75" customHeight="1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ht="12.75" customHeight="1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ht="12.75" customHeight="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ht="12.75" customHeight="1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ht="12.75" customHeight="1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ht="12.75" customHeight="1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ht="12.75" customHeight="1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ht="12.75" customHeight="1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ht="12.75" customHeight="1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ht="12.75" customHeight="1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ht="12.75" customHeight="1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ht="12.75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ht="12.75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ht="12.75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ht="12.75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ht="12.75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ht="12.75" customHeigh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ht="12.75" customHeigh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ht="12.75" customHeigh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ht="12.75" customHeigh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ht="12.75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ht="12.7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ht="12.7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ht="12.7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ht="12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ht="12.7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ht="12.7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ht="12.7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ht="12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ht="12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ht="12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ht="12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ht="12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ht="12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ht="12.75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ht="12.7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ht="12.75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ht="12.75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ht="12.75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ht="12.75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ht="12.75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ht="12.75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ht="12.75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ht="12.75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ht="12.7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ht="12.75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ht="12.75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ht="12.75" customHeigh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ht="12.75" customHeigh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ht="12.75" customHeigh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ht="12.75" customHeigh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ht="12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ht="12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ht="12.7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ht="12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ht="12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ht="12.7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ht="12.7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ht="12.7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ht="12.7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ht="12.7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ht="12.7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ht="12.7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ht="12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ht="12.7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ht="12.7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ht="12.7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ht="12.7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ht="12.7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ht="12.7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ht="12.7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ht="12.7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ht="12.75" customHeigh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ht="12.75" customHeigh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ht="12.7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ht="12.7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ht="12.7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ht="12.75" customHeigh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ht="12.7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ht="12.75" customHeigh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ht="12.75" customHeigh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ht="12.75" customHeigh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ht="12.75" customHeigh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ht="12.75" customHeigh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ht="12.75" customHeigh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ht="12.7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ht="12.7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ht="12.75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ht="12.7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ht="12.75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ht="12.75" customHeigh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ht="12.75" customHeigh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ht="12.75" customHeigh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ht="12.75" customHeigh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ht="12.75" customHeigh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ht="12.75" customHeigh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ht="12.7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ht="12.75" customHeigh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ht="12.7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ht="12.75" customHeigh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ht="12.7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ht="12.75" customHeigh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ht="12.75" customHeigh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ht="12.75" customHeigh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ht="12.75" customHeigh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ht="12.75" customHeigh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ht="12.75" customHeigh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ht="12.75" customHeigh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ht="12.75" customHeigh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ht="12.75" customHeigh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ht="12.75" customHeigh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ht="12.75" customHeigh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ht="12.75" customHeigh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ht="12.75" customHeigh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ht="12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ht="12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ht="12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ht="12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ht="12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ht="12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ht="12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ht="12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ht="12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ht="12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ht="12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ht="12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ht="12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ht="12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ht="12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ht="12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ht="12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ht="12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ht="12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ht="12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ht="12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ht="12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ht="12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ht="12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ht="12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ht="12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ht="12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ht="12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ht="12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ht="12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ht="12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ht="12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ht="12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ht="12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ht="12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ht="12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ht="12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ht="12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ht="12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ht="12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ht="12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ht="12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ht="12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ht="12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ht="12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ht="12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ht="12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ht="12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ht="12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ht="12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ht="12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ht="12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ht="12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ht="12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ht="12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ht="12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ht="12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ht="12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ht="12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ht="12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ht="12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ht="12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ht="12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ht="12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ht="12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ht="12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ht="12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ht="12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ht="12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ht="12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ht="12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ht="12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ht="12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ht="12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ht="12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ht="12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ht="12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ht="12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ht="12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ht="12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ht="12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ht="12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ht="12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ht="12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ht="12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ht="12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ht="12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ht="12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ht="12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ht="12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ht="12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ht="12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ht="12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ht="12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ht="12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ht="12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ht="12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ht="12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ht="12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ht="12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ht="12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ht="12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ht="12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ht="12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ht="12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ht="12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ht="12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ht="12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ht="12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ht="12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ht="12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ht="12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ht="12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ht="12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ht="12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ht="12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ht="12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ht="12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ht="12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ht="12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ht="12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ht="12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ht="12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ht="12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ht="12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ht="12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ht="12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ht="12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ht="12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ht="12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ht="12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ht="12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ht="12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ht="12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ht="12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ht="12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ht="12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ht="12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ht="12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ht="12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ht="12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ht="12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ht="12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ht="12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ht="12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ht="12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ht="12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ht="12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ht="12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ht="12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ht="12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ht="12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ht="12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ht="12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ht="12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ht="12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ht="12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ht="12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ht="12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ht="12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ht="12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ht="12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ht="12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ht="12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ht="12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ht="12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ht="12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ht="12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ht="12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ht="12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ht="12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ht="12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ht="12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ht="12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ht="12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ht="12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ht="12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ht="12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ht="12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ht="12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ht="12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ht="12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ht="12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ht="12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ht="12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ht="12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ht="12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ht="12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ht="12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ht="12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ht="12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ht="12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ht="12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ht="12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ht="12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ht="12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ht="12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ht="12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ht="12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ht="12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ht="12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ht="12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ht="12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ht="12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ht="12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ht="12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ht="12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ht="12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ht="12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ht="12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ht="12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ht="12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ht="12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ht="12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ht="12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ht="12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ht="12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ht="12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ht="12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ht="12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ht="12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ht="12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ht="12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ht="12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ht="12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ht="12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ht="12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ht="12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ht="12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ht="12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ht="12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ht="12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ht="12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ht="12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ht="12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ht="12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ht="12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ht="12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ht="12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ht="12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ht="12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ht="12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ht="12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ht="12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ht="12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ht="12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ht="12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ht="12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ht="12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ht="12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ht="12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ht="12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ht="12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ht="12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ht="12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ht="12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ht="12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ht="12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ht="12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ht="12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ht="12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ht="12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ht="12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ht="12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ht="12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ht="12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ht="12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ht="12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ht="12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ht="12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ht="12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ht="12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ht="12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ht="12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ht="12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ht="12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ht="12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ht="12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ht="12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ht="12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ht="12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ht="12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ht="12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ht="12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ht="12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ht="12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ht="12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ht="12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ht="12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ht="12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ht="12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ht="12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ht="12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ht="12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ht="12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ht="12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ht="12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ht="12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ht="12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ht="12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ht="12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ht="12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ht="12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ht="12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ht="12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ht="12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ht="12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ht="12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ht="12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ht="12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ht="12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ht="12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ht="12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ht="12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ht="12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ht="12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ht="12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ht="12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ht="12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ht="12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ht="12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ht="12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ht="12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ht="12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ht="12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ht="12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ht="12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ht="12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ht="12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ht="12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ht="12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ht="12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ht="12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ht="12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ht="12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ht="12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ht="12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ht="12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ht="12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ht="12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ht="12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ht="12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ht="12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ht="12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ht="12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ht="12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ht="12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ht="12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ht="12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ht="12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ht="12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ht="12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ht="12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ht="12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ht="12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ht="12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ht="12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ht="12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ht="12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ht="12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ht="12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ht="12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ht="12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ht="12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ht="12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ht="12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ht="12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ht="12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ht="12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ht="12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ht="12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ht="12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ht="12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ht="12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ht="12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ht="12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ht="12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ht="12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ht="12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ht="12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ht="12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ht="12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ht="12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ht="12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ht="12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ht="12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ht="12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ht="12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ht="12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ht="12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ht="12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ht="12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ht="12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ht="12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ht="12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ht="12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ht="12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ht="12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ht="12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ht="12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ht="12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ht="12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ht="12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ht="12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ht="12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ht="12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ht="12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ht="12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ht="12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ht="12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ht="12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ht="12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ht="12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ht="12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ht="12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ht="12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ht="12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ht="12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ht="12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ht="12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ht="12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ht="12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ht="12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ht="12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ht="12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ht="12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ht="12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ht="12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ht="12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ht="12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ht="12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ht="12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ht="12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ht="12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ht="12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ht="12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ht="12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ht="12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ht="12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ht="12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ht="12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ht="12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ht="12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ht="12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ht="12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ht="12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ht="12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ht="12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ht="12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ht="12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ht="12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ht="12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ht="12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ht="12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ht="12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ht="12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ht="12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ht="12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ht="12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ht="12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ht="12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ht="12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ht="12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ht="12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ht="12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ht="12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ht="12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ht="12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ht="12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ht="12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ht="12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ht="12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ht="12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ht="12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ht="12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ht="12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ht="12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ht="12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ht="12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ht="12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ht="12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ht="12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ht="12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ht="12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ht="12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ht="12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ht="12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ht="12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ht="12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ht="12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ht="12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ht="12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ht="12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ht="12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ht="12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ht="12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ht="12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ht="12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ht="12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ht="12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ht="12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ht="12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ht="12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ht="12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ht="12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ht="12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ht="12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ht="12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ht="12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ht="12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ht="12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ht="12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ht="12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ht="12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ht="12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ht="12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ht="12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ht="12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ht="12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ht="12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ht="12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ht="12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ht="12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ht="12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ht="12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ht="12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ht="12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ht="12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ht="12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ht="12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ht="12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ht="12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ht="12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ht="12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ht="12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ht="12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ht="12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ht="12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ht="12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ht="12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ht="12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ht="12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ht="12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ht="12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ht="12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ht="12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ht="12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ht="12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ht="12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ht="12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ht="12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ht="12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ht="12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ht="12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ht="12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ht="12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ht="12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ht="12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ht="12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ht="12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ht="12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ht="12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ht="12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ht="12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ht="12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ht="12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ht="12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ht="12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ht="12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ht="12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ht="12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ht="12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ht="12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ht="12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ht="12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ht="12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ht="12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ht="12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ht="12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ht="12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ht="12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ht="12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ht="12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ht="12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ht="12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ht="12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ht="12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ht="12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ht="12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ht="12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ht="12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ht="12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ht="12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ht="12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ht="12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ht="12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ht="12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ht="12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ht="12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ht="12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ht="12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ht="12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ht="12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ht="12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ht="12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ht="12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ht="12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ht="12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ht="12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ht="12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ht="12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ht="12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ht="12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ht="12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ht="12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ht="12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ht="12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ht="12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ht="12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ht="12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ht="12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ht="12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ht="12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ht="12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ht="12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ht="12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ht="12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ht="12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ht="12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ht="12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ht="12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ht="12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ht="12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ht="12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ht="12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ht="12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ht="12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ht="12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ht="12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ht="12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ht="12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ht="12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ht="12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ht="12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ht="12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ht="12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ht="12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ht="12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ht="12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ht="12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ht="12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ht="12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ht="12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ht="12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ht="12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ht="12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ht="12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ht="12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ht="12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ht="12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ht="12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ht="12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ht="12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ht="12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ht="12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ht="12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ht="12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ht="12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ht="12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ht="12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ht="12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ht="12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ht="12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ht="12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ht="12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ht="12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ht="12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ht="12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ht="12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ht="12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ht="12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ht="12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ht="12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ht="12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ht="12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ht="12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ht="12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ht="12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ht="12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ht="12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ht="12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ht="12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ht="12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ht="12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ht="12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ht="12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ht="12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ht="12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ht="12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ht="12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ht="12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ht="12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ht="12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ht="12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ht="12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ht="12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ht="12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ht="12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ht="12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ht="12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ht="12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ht="12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ht="12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ht="12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ht="12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ht="12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ht="12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ht="12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ht="12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ht="12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ht="12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ht="12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ht="12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ht="12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ht="12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ht="12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ht="12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ht="12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ht="12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ht="12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ht="12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ht="12.75" customHeight="1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ht="12.75" customHeight="1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ht="12.75" customHeight="1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ht="12.75" customHeight="1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ht="12.75" customHeight="1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ht="12.75" customHeight="1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ht="12.75" customHeight="1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ht="12.75" customHeight="1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ht="12.75" customHeight="1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ht="12.75" customHeight="1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ht="12.75" customHeight="1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ht="12.75" customHeight="1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ht="12.75" customHeight="1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ht="12.75" customHeight="1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ht="12.75" customHeight="1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ht="12.75" customHeight="1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ht="12.75" customHeight="1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ht="12.75" customHeight="1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ht="12.75" customHeight="1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ht="12.75" customHeight="1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ht="12.75" customHeight="1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ht="12.75" customHeight="1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ht="12.75" customHeight="1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ht="12.75" customHeight="1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ht="12.75" customHeight="1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ht="12.75" customHeight="1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ht="12.75" customHeight="1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ht="12.75" customHeight="1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ht="12.75" customHeight="1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ht="12.75" customHeight="1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ht="12.75" customHeight="1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ht="12.75" customHeight="1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ht="12.75" customHeight="1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ht="12.75" customHeight="1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ht="12.75" customHeight="1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ht="12.75" customHeight="1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ht="12.75" customHeight="1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ht="12.75" customHeight="1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ht="12.75" customHeight="1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ht="12.75" customHeight="1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ht="12.75" customHeight="1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ht="12.75" customHeight="1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ht="12.75" customHeight="1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ht="12.75" customHeight="1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ht="12.75" customHeight="1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ht="12.75" customHeight="1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ht="12.75" customHeight="1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ht="12.75" customHeight="1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printOptions/>
  <pageMargins bottom="1.0" footer="0.0" header="0.0" left="0.75" right="0.75" top="1.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7.75"/>
    <col customWidth="1" min="3" max="3" width="23.0"/>
    <col customWidth="1" min="4" max="5" width="7.75"/>
    <col customWidth="1" min="6" max="6" width="4.75"/>
    <col customWidth="1" min="7" max="7" width="37.5"/>
    <col customWidth="1" min="8" max="8" width="4.75"/>
    <col customWidth="1" min="9" max="9" width="11.13"/>
    <col customWidth="1" min="10" max="26" width="7.75"/>
  </cols>
  <sheetData>
    <row r="1" ht="12.7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ht="12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ht="12.75" customHeight="1">
      <c r="A4" s="123"/>
      <c r="B4" s="123"/>
      <c r="C4" s="123" t="s">
        <v>200</v>
      </c>
      <c r="D4" s="30">
        <f>+DCF!$D$8</f>
        <v>39.62424916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ht="12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ht="12.75" customHeight="1">
      <c r="A6" s="123"/>
      <c r="B6" s="123"/>
      <c r="C6" s="217" t="s">
        <v>201</v>
      </c>
      <c r="D6" s="212">
        <f>+G6*J6</f>
        <v>396.2424916</v>
      </c>
      <c r="E6" s="212">
        <f t="shared" ref="E6:E9" si="1">+F6-D6</f>
        <v>79.24849831</v>
      </c>
      <c r="F6" s="212">
        <f>+H6*J6</f>
        <v>475.4909899</v>
      </c>
      <c r="G6" s="163">
        <v>10.0</v>
      </c>
      <c r="H6" s="163">
        <v>12.0</v>
      </c>
      <c r="I6" s="123" t="s">
        <v>202</v>
      </c>
      <c r="J6" s="30">
        <f>+DCF!D8</f>
        <v>39.62424916</v>
      </c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ht="12.75" customHeight="1">
      <c r="A7" s="123"/>
      <c r="B7" s="123"/>
      <c r="C7" s="123" t="s">
        <v>203</v>
      </c>
      <c r="D7" s="212">
        <v>550.0</v>
      </c>
      <c r="E7" s="212">
        <f t="shared" si="1"/>
        <v>200</v>
      </c>
      <c r="F7" s="212">
        <v>750.0</v>
      </c>
      <c r="G7" s="123" t="s">
        <v>204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ht="12.75" customHeight="1">
      <c r="A8" s="123"/>
      <c r="B8" s="123"/>
      <c r="C8" s="123" t="s">
        <v>205</v>
      </c>
      <c r="D8" s="212">
        <v>510.0</v>
      </c>
      <c r="E8" s="212">
        <f t="shared" si="1"/>
        <v>70</v>
      </c>
      <c r="F8" s="212">
        <v>580.0</v>
      </c>
      <c r="G8" s="123" t="s">
        <v>206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ht="12.75" customHeight="1">
      <c r="A9" s="123"/>
      <c r="B9" s="123"/>
      <c r="C9" s="123" t="s">
        <v>207</v>
      </c>
      <c r="D9" s="212">
        <v>440.0</v>
      </c>
      <c r="E9" s="212">
        <f t="shared" si="1"/>
        <v>50</v>
      </c>
      <c r="F9" s="212">
        <v>490.0</v>
      </c>
      <c r="G9" s="123" t="s">
        <v>208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ht="12.7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ht="12.7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ht="12.7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ht="12.7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ht="12.75" customHeight="1">
      <c r="A14" s="123"/>
      <c r="B14" s="123"/>
      <c r="C14" s="123" t="str">
        <f t="shared" ref="C14:E14" si="2">+C9</f>
        <v>LBO (5 year exit)</v>
      </c>
      <c r="D14" s="212">
        <f t="shared" si="2"/>
        <v>440</v>
      </c>
      <c r="E14" s="212">
        <f t="shared" si="2"/>
        <v>50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ht="12.75" customHeight="1">
      <c r="A15" s="123"/>
      <c r="B15" s="123"/>
      <c r="C15" s="123" t="str">
        <f t="shared" ref="C15:E15" si="3">+C8</f>
        <v>FCFE</v>
      </c>
      <c r="D15" s="212">
        <f t="shared" si="3"/>
        <v>510</v>
      </c>
      <c r="E15" s="212">
        <f t="shared" si="3"/>
        <v>70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ht="12.75" customHeight="1">
      <c r="A16" s="123"/>
      <c r="B16" s="123"/>
      <c r="C16" s="123" t="str">
        <f t="shared" ref="C16:E16" si="4">+C7</f>
        <v>DCF</v>
      </c>
      <c r="D16" s="212">
        <f t="shared" si="4"/>
        <v>550</v>
      </c>
      <c r="E16" s="212">
        <f t="shared" si="4"/>
        <v>200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ht="12.75" customHeight="1">
      <c r="A17" s="123"/>
      <c r="B17" s="123"/>
      <c r="C17" s="123" t="str">
        <f t="shared" ref="C17:E17" si="5">+C6</f>
        <v>Trading Comps FY+1 EBITDA</v>
      </c>
      <c r="D17" s="212">
        <f t="shared" si="5"/>
        <v>396.2424916</v>
      </c>
      <c r="E17" s="212">
        <f t="shared" si="5"/>
        <v>79.24849831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ht="12.7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ht="12.75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ht="12.7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ht="12.75" customHeight="1">
      <c r="A21" s="123"/>
      <c r="B21" s="123"/>
      <c r="C21" s="217" t="s">
        <v>201</v>
      </c>
      <c r="D21" s="163">
        <f t="shared" ref="D21:D24" si="6">D6/$D$4</f>
        <v>10</v>
      </c>
      <c r="E21" s="123"/>
      <c r="F21" s="163">
        <f t="shared" ref="F21:F24" si="7">F6/$D$4</f>
        <v>12</v>
      </c>
      <c r="G21" s="123"/>
      <c r="H21" s="123"/>
      <c r="I21" s="123"/>
      <c r="J21" s="123">
        <v>400.0</v>
      </c>
      <c r="K21" s="123">
        <v>750.0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ht="12.75" customHeight="1">
      <c r="A22" s="123"/>
      <c r="B22" s="123"/>
      <c r="C22" s="123" t="s">
        <v>203</v>
      </c>
      <c r="D22" s="163">
        <f t="shared" si="6"/>
        <v>13.8803892</v>
      </c>
      <c r="E22" s="123"/>
      <c r="F22" s="163">
        <f t="shared" si="7"/>
        <v>18.92780345</v>
      </c>
      <c r="G22" s="123"/>
      <c r="H22" s="123"/>
      <c r="I22" s="123"/>
      <c r="J22" s="123">
        <f>+J21/DCF!$D$8</f>
        <v>10.09482851</v>
      </c>
      <c r="K22" s="123">
        <f>+K21/DCF!$D$8</f>
        <v>18.92780345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ht="12.75" customHeight="1">
      <c r="A23" s="123"/>
      <c r="B23" s="123"/>
      <c r="C23" s="123" t="s">
        <v>205</v>
      </c>
      <c r="D23" s="163">
        <f t="shared" si="6"/>
        <v>12.87090635</v>
      </c>
      <c r="E23" s="123"/>
      <c r="F23" s="163">
        <f t="shared" si="7"/>
        <v>14.63750134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ht="12.75" customHeight="1">
      <c r="A24" s="123"/>
      <c r="B24" s="123"/>
      <c r="C24" s="123" t="s">
        <v>207</v>
      </c>
      <c r="D24" s="163">
        <f t="shared" si="6"/>
        <v>11.10431136</v>
      </c>
      <c r="E24" s="123"/>
      <c r="F24" s="163">
        <f t="shared" si="7"/>
        <v>12.36616492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ht="12.7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ht="12.7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ht="12.75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ht="12.7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ht="12.7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ht="12.7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ht="12.7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ht="12.7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ht="12.7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ht="12.7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ht="12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ht="12.7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ht="12.7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ht="12.7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ht="12.7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ht="12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ht="12.7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ht="12.7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ht="12.7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ht="12.7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ht="12.7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ht="12.7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ht="12.7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ht="12.7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ht="12.7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ht="12.7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ht="12.7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ht="12.7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ht="12.7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12.7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ht="12.7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ht="12.7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ht="12.7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ht="12.7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ht="12.7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ht="12.75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ht="12.75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ht="12.75" customHeigh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ht="12.75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ht="12.7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ht="12.75" customHeight="1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ht="12.75" customHeight="1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ht="12.75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ht="12.75" customHeight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ht="12.75" customHeight="1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ht="12.75" customHeight="1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ht="12.75" customHeight="1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ht="12.75" customHeight="1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ht="12.75" customHeight="1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ht="12.75" customHeight="1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ht="12.75" customHeight="1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ht="12.75" customHeight="1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ht="12.75" customHeigh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ht="12.75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ht="12.75" customHeight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ht="12.75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ht="12.75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ht="12.75" customHeight="1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ht="12.75" customHeight="1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ht="12.75" customHeight="1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ht="12.75" customHeight="1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ht="12.75" customHeight="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ht="12.75" customHeight="1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ht="12.75" customHeight="1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ht="12.75" customHeight="1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ht="12.75" customHeight="1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ht="12.75" customHeight="1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ht="12.75" customHeight="1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ht="12.75" customHeight="1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ht="12.75" customHeight="1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ht="12.75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ht="12.75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ht="12.75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ht="12.75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ht="12.75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ht="12.75" customHeigh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ht="12.75" customHeigh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ht="12.75" customHeigh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ht="12.75" customHeigh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ht="12.75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ht="12.7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ht="12.7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ht="12.7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ht="12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ht="12.7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ht="12.7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ht="12.7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ht="12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ht="12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ht="12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ht="12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ht="12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ht="12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ht="12.75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ht="12.7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ht="12.75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ht="12.75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ht="12.75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ht="12.75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ht="12.75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ht="12.75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ht="12.75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ht="12.75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ht="12.7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ht="12.75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ht="12.75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ht="12.75" customHeigh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ht="12.75" customHeigh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ht="12.75" customHeigh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ht="12.75" customHeigh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ht="12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ht="12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ht="12.7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ht="12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ht="12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ht="12.7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ht="12.7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ht="12.7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ht="12.7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ht="12.7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ht="12.7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ht="12.7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ht="12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ht="12.7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ht="12.7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ht="12.7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ht="12.7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ht="12.7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ht="12.7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ht="12.7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ht="12.7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ht="12.75" customHeigh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ht="12.75" customHeigh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ht="12.7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ht="12.7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ht="12.7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ht="12.75" customHeigh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ht="12.7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ht="12.75" customHeigh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ht="12.75" customHeigh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ht="12.75" customHeigh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ht="12.75" customHeigh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ht="12.75" customHeigh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ht="12.75" customHeigh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ht="12.7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ht="12.7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ht="12.75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ht="12.7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ht="12.75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ht="12.75" customHeigh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ht="12.75" customHeigh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ht="12.75" customHeigh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ht="12.75" customHeigh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ht="12.75" customHeigh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ht="12.75" customHeigh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ht="12.7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ht="12.75" customHeigh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ht="12.7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ht="12.75" customHeigh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ht="12.7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ht="12.75" customHeigh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ht="12.75" customHeigh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ht="12.75" customHeigh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ht="12.75" customHeigh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ht="12.75" customHeigh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ht="12.75" customHeigh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ht="12.75" customHeigh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ht="12.75" customHeigh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ht="12.75" customHeigh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ht="12.75" customHeigh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ht="12.75" customHeigh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ht="12.75" customHeigh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ht="12.75" customHeigh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ht="12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ht="12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ht="12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ht="12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ht="12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ht="12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ht="12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ht="12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ht="12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ht="12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ht="12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ht="12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ht="12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ht="12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ht="12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ht="12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ht="12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ht="12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ht="12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ht="12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ht="12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ht="12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ht="12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ht="12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ht="12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ht="12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ht="12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ht="12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ht="12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ht="12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ht="12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ht="12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ht="12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ht="12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ht="12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ht="12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ht="12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ht="12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ht="12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ht="12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ht="12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ht="12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ht="12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ht="12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ht="12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ht="12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ht="12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ht="12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ht="12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ht="12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ht="12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ht="12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ht="12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ht="12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ht="12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ht="12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ht="12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ht="12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ht="12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ht="12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ht="12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ht="12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ht="12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ht="12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ht="12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ht="12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ht="12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ht="12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ht="12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ht="12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ht="12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ht="12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ht="12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ht="12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ht="12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ht="12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ht="12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ht="12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ht="12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ht="12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ht="12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ht="12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ht="12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ht="12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ht="12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ht="12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ht="12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ht="12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ht="12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ht="12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ht="12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ht="12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ht="12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ht="12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ht="12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ht="12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ht="12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ht="12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ht="12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ht="12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ht="12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ht="12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ht="12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ht="12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ht="12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ht="12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ht="12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ht="12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ht="12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ht="12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ht="12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ht="12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ht="12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ht="12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ht="12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ht="12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ht="12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ht="12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ht="12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ht="12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ht="12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ht="12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ht="12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ht="12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ht="12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ht="12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ht="12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ht="12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ht="12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ht="12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ht="12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ht="12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ht="12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ht="12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ht="12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ht="12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ht="12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ht="12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ht="12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ht="12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ht="12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ht="12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ht="12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ht="12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ht="12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ht="12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ht="12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ht="12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ht="12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ht="12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ht="12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ht="12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ht="12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ht="12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ht="12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ht="12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ht="12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ht="12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ht="12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ht="12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ht="12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ht="12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ht="12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ht="12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ht="12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ht="12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ht="12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ht="12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ht="12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ht="12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ht="12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ht="12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ht="12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ht="12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ht="12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ht="12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ht="12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ht="12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ht="12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ht="12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ht="12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ht="12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ht="12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ht="12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ht="12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ht="12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ht="12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ht="12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ht="12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ht="12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ht="12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ht="12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ht="12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ht="12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ht="12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ht="12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ht="12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ht="12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ht="12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ht="12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ht="12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ht="12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ht="12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ht="12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ht="12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ht="12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ht="12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ht="12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ht="12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ht="12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ht="12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ht="12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ht="12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ht="12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ht="12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ht="12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ht="12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ht="12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ht="12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ht="12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ht="12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ht="12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ht="12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ht="12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ht="12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ht="12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ht="12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ht="12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ht="12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ht="12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ht="12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ht="12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ht="12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ht="12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ht="12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ht="12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ht="12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ht="12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ht="12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ht="12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ht="12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ht="12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ht="12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ht="12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ht="12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ht="12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ht="12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ht="12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ht="12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ht="12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ht="12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ht="12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ht="12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ht="12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ht="12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ht="12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ht="12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ht="12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ht="12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ht="12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ht="12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ht="12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ht="12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ht="12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ht="12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ht="12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ht="12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ht="12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ht="12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ht="12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ht="12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ht="12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ht="12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ht="12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ht="12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ht="12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ht="12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ht="12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ht="12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ht="12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ht="12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ht="12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ht="12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ht="12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ht="12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ht="12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ht="12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ht="12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ht="12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ht="12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ht="12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ht="12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ht="12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ht="12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ht="12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ht="12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ht="12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ht="12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ht="12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ht="12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ht="12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ht="12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ht="12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ht="12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ht="12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ht="12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ht="12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ht="12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ht="12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ht="12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ht="12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ht="12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ht="12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ht="12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ht="12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ht="12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ht="12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ht="12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ht="12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ht="12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ht="12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ht="12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ht="12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ht="12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ht="12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ht="12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ht="12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ht="12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ht="12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ht="12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ht="12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ht="12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ht="12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ht="12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ht="12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ht="12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ht="12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ht="12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ht="12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ht="12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ht="12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ht="12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ht="12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ht="12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ht="12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ht="12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ht="12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ht="12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ht="12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ht="12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ht="12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ht="12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ht="12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ht="12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ht="12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ht="12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ht="12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ht="12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ht="12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ht="12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ht="12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ht="12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ht="12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ht="12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ht="12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ht="12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ht="12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ht="12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ht="12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ht="12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ht="12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ht="12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ht="12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ht="12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ht="12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ht="12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ht="12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ht="12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ht="12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ht="12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ht="12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ht="12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ht="12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ht="12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ht="12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ht="12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ht="12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ht="12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ht="12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ht="12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ht="12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ht="12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ht="12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ht="12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ht="12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ht="12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ht="12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ht="12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ht="12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ht="12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ht="12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ht="12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ht="12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ht="12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ht="12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ht="12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ht="12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ht="12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ht="12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ht="12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ht="12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ht="12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ht="12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ht="12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ht="12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ht="12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ht="12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ht="12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ht="12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ht="12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ht="12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ht="12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ht="12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ht="12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ht="12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ht="12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ht="12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ht="12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ht="12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ht="12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ht="12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ht="12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ht="12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ht="12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ht="12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ht="12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ht="12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ht="12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ht="12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ht="12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ht="12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ht="12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ht="12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ht="12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ht="12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ht="12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ht="12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ht="12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ht="12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ht="12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ht="12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ht="12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ht="12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ht="12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ht="12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ht="12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ht="12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ht="12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ht="12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ht="12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ht="12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ht="12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ht="12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ht="12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ht="12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ht="12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ht="12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ht="12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ht="12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ht="12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ht="12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ht="12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ht="12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ht="12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ht="12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ht="12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ht="12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ht="12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ht="12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ht="12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ht="12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ht="12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ht="12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ht="12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ht="12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ht="12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ht="12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ht="12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ht="12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ht="12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ht="12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ht="12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ht="12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ht="12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ht="12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ht="12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ht="12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ht="12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ht="12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ht="12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ht="12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ht="12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ht="12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ht="12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ht="12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ht="12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ht="12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ht="12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ht="12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ht="12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ht="12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ht="12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ht="12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ht="12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ht="12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ht="12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ht="12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ht="12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ht="12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ht="12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ht="12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ht="12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ht="12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ht="12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ht="12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ht="12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ht="12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ht="12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ht="12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ht="12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ht="12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ht="12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ht="12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ht="12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ht="12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ht="12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ht="12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ht="12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ht="12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ht="12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ht="12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ht="12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ht="12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ht="12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ht="12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ht="12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ht="12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ht="12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ht="12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ht="12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ht="12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ht="12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ht="12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ht="12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ht="12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ht="12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ht="12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ht="12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ht="12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ht="12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ht="12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ht="12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ht="12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ht="12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ht="12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ht="12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ht="12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ht="12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ht="12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ht="12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ht="12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ht="12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ht="12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ht="12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ht="12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ht="12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ht="12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ht="12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ht="12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ht="12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ht="12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ht="12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ht="12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ht="12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ht="12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ht="12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ht="12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ht="12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ht="12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ht="12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ht="12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ht="12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ht="12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ht="12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ht="12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ht="12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ht="12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ht="12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ht="12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ht="12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ht="12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ht="12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ht="12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ht="12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ht="12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ht="12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ht="12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ht="12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ht="12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ht="12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ht="12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ht="12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ht="12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ht="12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ht="12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ht="12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ht="12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ht="12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ht="12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ht="12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ht="12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ht="12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ht="12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ht="12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ht="12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ht="12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ht="12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ht="12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ht="12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ht="12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ht="12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ht="12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ht="12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ht="12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ht="12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ht="12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ht="12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ht="12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ht="12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ht="12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ht="12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ht="12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ht="12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ht="12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ht="12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ht="12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ht="12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ht="12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ht="12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ht="12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ht="12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ht="12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ht="12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ht="12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ht="12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ht="12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ht="12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ht="12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ht="12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ht="12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ht="12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ht="12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ht="12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ht="12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ht="12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ht="12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ht="12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ht="12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ht="12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ht="12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ht="12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ht="12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ht="12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ht="12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ht="12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ht="12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ht="12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ht="12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ht="12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ht="12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ht="12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ht="12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ht="12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ht="12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ht="12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ht="12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ht="12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ht="12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ht="12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ht="12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ht="12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ht="12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ht="12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ht="12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ht="12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ht="12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ht="12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ht="12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ht="12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ht="12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ht="12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ht="12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ht="12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ht="12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ht="12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ht="12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ht="12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ht="12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ht="12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ht="12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ht="12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ht="12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ht="12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ht="12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ht="12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ht="12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ht="12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ht="12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ht="12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ht="12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ht="12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ht="12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ht="12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ht="12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ht="12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ht="12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ht="12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ht="12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ht="12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ht="12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ht="12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ht="12.75" customHeight="1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ht="12.75" customHeight="1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ht="12.75" customHeight="1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ht="12.75" customHeight="1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ht="12.75" customHeight="1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ht="12.75" customHeight="1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ht="12.75" customHeight="1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ht="12.75" customHeight="1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ht="12.75" customHeight="1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ht="12.75" customHeight="1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ht="12.75" customHeight="1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ht="12.75" customHeight="1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ht="12.75" customHeight="1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ht="12.75" customHeight="1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ht="12.75" customHeight="1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ht="12.75" customHeight="1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ht="12.75" customHeight="1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ht="12.75" customHeight="1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ht="12.75" customHeight="1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ht="12.75" customHeight="1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ht="12.75" customHeight="1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ht="12.75" customHeight="1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ht="12.75" customHeight="1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ht="12.75" customHeight="1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ht="12.75" customHeight="1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ht="12.75" customHeight="1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ht="12.75" customHeight="1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ht="12.75" customHeight="1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ht="12.75" customHeight="1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ht="12.75" customHeight="1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ht="12.75" customHeight="1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ht="12.75" customHeight="1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ht="12.75" customHeight="1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ht="12.75" customHeight="1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ht="12.75" customHeight="1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ht="12.75" customHeight="1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ht="12.75" customHeight="1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ht="12.75" customHeight="1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ht="12.75" customHeight="1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ht="12.75" customHeight="1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ht="12.75" customHeight="1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ht="12.75" customHeight="1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ht="12.75" customHeight="1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ht="12.75" customHeight="1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ht="12.75" customHeight="1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ht="12.75" customHeight="1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ht="12.75" customHeight="1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ht="12.75" customHeight="1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printOptions/>
  <pageMargins bottom="1.0" footer="0.0" header="0.0" left="0.75" right="0.75" top="1.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2">
      <c r="C2" s="13">
        <v>300.0</v>
      </c>
      <c r="D2" s="13">
        <f t="shared" ref="D2:H2" si="1">+C2+100</f>
        <v>400</v>
      </c>
      <c r="E2" s="13">
        <f t="shared" si="1"/>
        <v>500</v>
      </c>
      <c r="F2" s="13">
        <f t="shared" si="1"/>
        <v>600</v>
      </c>
      <c r="G2" s="13">
        <f t="shared" si="1"/>
        <v>700</v>
      </c>
      <c r="H2" s="13">
        <f t="shared" si="1"/>
        <v>800</v>
      </c>
    </row>
    <row r="3">
      <c r="A3" s="13" t="s">
        <v>200</v>
      </c>
      <c r="B3" s="218">
        <f>+DCF!$D$8</f>
        <v>39.62424916</v>
      </c>
      <c r="C3" s="163">
        <f t="shared" ref="C3:H3" si="2">C2/$B$3</f>
        <v>7.571121381</v>
      </c>
      <c r="D3" s="163">
        <f t="shared" si="2"/>
        <v>10.09482851</v>
      </c>
      <c r="E3" s="163">
        <f t="shared" si="2"/>
        <v>12.61853564</v>
      </c>
      <c r="F3" s="163">
        <f t="shared" si="2"/>
        <v>15.14224276</v>
      </c>
      <c r="G3" s="163">
        <f t="shared" si="2"/>
        <v>17.66594989</v>
      </c>
      <c r="H3" s="163">
        <f t="shared" si="2"/>
        <v>20.18965702</v>
      </c>
    </row>
    <row r="4">
      <c r="A4" s="13" t="s">
        <v>209</v>
      </c>
      <c r="B4" s="218">
        <f>+DCF!$E$8</f>
        <v>42.68789605</v>
      </c>
      <c r="C4" s="163">
        <f t="shared" ref="C4:H4" si="3">C2/$B$4</f>
        <v>7.027753245</v>
      </c>
      <c r="D4" s="163">
        <f t="shared" si="3"/>
        <v>9.37033766</v>
      </c>
      <c r="E4" s="163">
        <f t="shared" si="3"/>
        <v>11.71292208</v>
      </c>
      <c r="F4" s="163">
        <f t="shared" si="3"/>
        <v>14.05550649</v>
      </c>
      <c r="G4" s="163">
        <f t="shared" si="3"/>
        <v>16.39809091</v>
      </c>
      <c r="H4" s="163">
        <f t="shared" si="3"/>
        <v>18.74067532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2.38"/>
    <col customWidth="1" min="2" max="2" width="37.0"/>
    <col customWidth="1" min="3" max="3" width="8.13"/>
    <col customWidth="1" min="4" max="5" width="8.25"/>
    <col customWidth="1" min="6" max="17" width="8.13"/>
    <col customWidth="1" min="18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7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19" t="s">
        <v>18</v>
      </c>
      <c r="C4" s="20">
        <v>2007.0</v>
      </c>
      <c r="D4" s="20">
        <f t="shared" ref="D4:Q4" si="1">+C4+1</f>
        <v>2008</v>
      </c>
      <c r="E4" s="20">
        <f t="shared" si="1"/>
        <v>2009</v>
      </c>
      <c r="F4" s="20">
        <f t="shared" si="1"/>
        <v>2010</v>
      </c>
      <c r="G4" s="21">
        <f t="shared" si="1"/>
        <v>2011</v>
      </c>
      <c r="H4" s="22">
        <f t="shared" si="1"/>
        <v>2012</v>
      </c>
      <c r="I4" s="23">
        <f t="shared" si="1"/>
        <v>2013</v>
      </c>
      <c r="J4" s="23">
        <f t="shared" si="1"/>
        <v>2014</v>
      </c>
      <c r="K4" s="23">
        <f t="shared" si="1"/>
        <v>2015</v>
      </c>
      <c r="L4" s="23">
        <f t="shared" si="1"/>
        <v>2016</v>
      </c>
      <c r="M4" s="23">
        <f t="shared" si="1"/>
        <v>2017</v>
      </c>
      <c r="N4" s="23">
        <f t="shared" si="1"/>
        <v>2018</v>
      </c>
      <c r="O4" s="23">
        <f t="shared" si="1"/>
        <v>2019</v>
      </c>
      <c r="P4" s="23">
        <f t="shared" si="1"/>
        <v>2020</v>
      </c>
      <c r="Q4" s="23">
        <f t="shared" si="1"/>
        <v>2021</v>
      </c>
      <c r="R4" s="16"/>
      <c r="S4" s="16"/>
      <c r="T4" s="16"/>
      <c r="U4" s="16"/>
      <c r="V4" s="16"/>
      <c r="W4" s="16"/>
      <c r="X4" s="16"/>
      <c r="Y4" s="16"/>
      <c r="Z4" s="16"/>
    </row>
    <row r="5" ht="4.5" customHeight="1">
      <c r="A5" s="16"/>
      <c r="B5" s="18"/>
      <c r="C5" s="24"/>
      <c r="D5" s="24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16"/>
      <c r="S5" s="16"/>
      <c r="T5" s="16"/>
      <c r="U5" s="16"/>
      <c r="V5" s="16"/>
      <c r="W5" s="16"/>
      <c r="X5" s="16"/>
      <c r="Y5" s="16"/>
      <c r="Z5" s="16"/>
    </row>
    <row r="6" ht="12.75" customHeight="1">
      <c r="A6" s="16"/>
      <c r="B6" s="27" t="s">
        <v>19</v>
      </c>
      <c r="C6" s="28">
        <v>212.638</v>
      </c>
      <c r="D6" s="28">
        <v>260.482</v>
      </c>
      <c r="E6" s="28">
        <v>273.506</v>
      </c>
      <c r="F6" s="28">
        <v>277.609</v>
      </c>
      <c r="G6" s="29">
        <v>291.489</v>
      </c>
      <c r="H6" s="28">
        <f t="shared" ref="H6:Q6" si="2">+H9+H45</f>
        <v>308.6089812</v>
      </c>
      <c r="I6" s="28">
        <f t="shared" si="2"/>
        <v>331.0081843</v>
      </c>
      <c r="J6" s="28">
        <f t="shared" si="2"/>
        <v>362.5111248</v>
      </c>
      <c r="K6" s="28">
        <f t="shared" si="2"/>
        <v>399.522988</v>
      </c>
      <c r="L6" s="28">
        <f t="shared" si="2"/>
        <v>444.6689002</v>
      </c>
      <c r="M6" s="28">
        <f t="shared" si="2"/>
        <v>486.5046273</v>
      </c>
      <c r="N6" s="28">
        <f t="shared" si="2"/>
        <v>522.255202</v>
      </c>
      <c r="O6" s="28">
        <f t="shared" si="2"/>
        <v>550.4624616</v>
      </c>
      <c r="P6" s="28">
        <f t="shared" si="2"/>
        <v>571.5559196</v>
      </c>
      <c r="Q6" s="28">
        <f t="shared" si="2"/>
        <v>583.0441935</v>
      </c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18"/>
      <c r="B7" s="18" t="s">
        <v>20</v>
      </c>
      <c r="C7" s="31"/>
      <c r="D7" s="32">
        <f t="shared" ref="D7:Q7" si="3">+D6/C6-1</f>
        <v>0.2250021163</v>
      </c>
      <c r="E7" s="32">
        <f t="shared" si="3"/>
        <v>0.0499996161</v>
      </c>
      <c r="F7" s="32">
        <f t="shared" si="3"/>
        <v>0.01500149905</v>
      </c>
      <c r="G7" s="33">
        <f t="shared" si="3"/>
        <v>0.04999837902</v>
      </c>
      <c r="H7" s="32">
        <f t="shared" si="3"/>
        <v>0.058732855</v>
      </c>
      <c r="I7" s="32">
        <f t="shared" si="3"/>
        <v>0.072581177</v>
      </c>
      <c r="J7" s="32">
        <f t="shared" si="3"/>
        <v>0.09517269366</v>
      </c>
      <c r="K7" s="32">
        <f t="shared" si="3"/>
        <v>0.1020985582</v>
      </c>
      <c r="L7" s="32">
        <f t="shared" si="3"/>
        <v>0.1129995359</v>
      </c>
      <c r="M7" s="32">
        <f t="shared" si="3"/>
        <v>0.09408287175</v>
      </c>
      <c r="N7" s="32">
        <f t="shared" si="3"/>
        <v>0.07348455218</v>
      </c>
      <c r="O7" s="32">
        <f t="shared" si="3"/>
        <v>0.05401049056</v>
      </c>
      <c r="P7" s="32">
        <f t="shared" si="3"/>
        <v>0.03831952116</v>
      </c>
      <c r="Q7" s="32">
        <f t="shared" si="3"/>
        <v>0.0201</v>
      </c>
      <c r="R7" s="31"/>
      <c r="S7" s="31"/>
      <c r="T7" s="31"/>
      <c r="U7" s="31"/>
      <c r="V7" s="31"/>
      <c r="W7" s="31"/>
      <c r="X7" s="31"/>
      <c r="Y7" s="31"/>
      <c r="Z7" s="31"/>
    </row>
    <row r="8" ht="12.75" customHeight="1">
      <c r="A8" s="16"/>
      <c r="B8" s="16"/>
      <c r="C8" s="30"/>
      <c r="D8" s="30"/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16"/>
      <c r="B9" s="35" t="s">
        <v>21</v>
      </c>
      <c r="C9" s="28">
        <f t="shared" ref="C9:G9" si="4">+C6-C45</f>
        <v>192.3074215</v>
      </c>
      <c r="D9" s="28">
        <f t="shared" si="4"/>
        <v>238.1183636</v>
      </c>
      <c r="E9" s="28">
        <f t="shared" si="4"/>
        <v>248.906</v>
      </c>
      <c r="F9" s="28">
        <f t="shared" si="4"/>
        <v>250.549</v>
      </c>
      <c r="G9" s="29">
        <f t="shared" si="4"/>
        <v>261.723</v>
      </c>
      <c r="H9" s="28">
        <f t="shared" ref="H9:Q9" si="5">+H13+H24+H35</f>
        <v>275.6486429</v>
      </c>
      <c r="I9" s="28">
        <f t="shared" si="5"/>
        <v>294.0190313</v>
      </c>
      <c r="J9" s="28">
        <f t="shared" si="5"/>
        <v>320.1117904</v>
      </c>
      <c r="K9" s="28">
        <f t="shared" si="5"/>
        <v>350.2210419</v>
      </c>
      <c r="L9" s="28">
        <f t="shared" si="5"/>
        <v>386.9511119</v>
      </c>
      <c r="M9" s="28">
        <f t="shared" si="5"/>
        <v>420.8264017</v>
      </c>
      <c r="N9" s="28">
        <f t="shared" si="5"/>
        <v>450.3296635</v>
      </c>
      <c r="O9" s="28">
        <f t="shared" si="5"/>
        <v>474.0343845</v>
      </c>
      <c r="P9" s="28">
        <f t="shared" si="5"/>
        <v>492.0477909</v>
      </c>
      <c r="Q9" s="28">
        <f t="shared" si="5"/>
        <v>501.9379515</v>
      </c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18"/>
      <c r="B10" s="36" t="s">
        <v>22</v>
      </c>
      <c r="C10" s="32">
        <f t="shared" ref="C10:Q10" si="6">+C9/C6</f>
        <v>0.9043887804</v>
      </c>
      <c r="D10" s="32">
        <f t="shared" si="6"/>
        <v>0.9141451756</v>
      </c>
      <c r="E10" s="32">
        <f t="shared" si="6"/>
        <v>0.9100568178</v>
      </c>
      <c r="F10" s="32">
        <f t="shared" si="6"/>
        <v>0.9025247741</v>
      </c>
      <c r="G10" s="33">
        <f t="shared" si="6"/>
        <v>0.897882939</v>
      </c>
      <c r="H10" s="32">
        <f t="shared" si="6"/>
        <v>0.8931970866</v>
      </c>
      <c r="I10" s="32">
        <f t="shared" si="6"/>
        <v>0.8882530562</v>
      </c>
      <c r="J10" s="32">
        <f t="shared" si="6"/>
        <v>0.8830399082</v>
      </c>
      <c r="K10" s="32">
        <f t="shared" si="6"/>
        <v>0.8765979742</v>
      </c>
      <c r="L10" s="32">
        <f t="shared" si="6"/>
        <v>0.8702005285</v>
      </c>
      <c r="M10" s="32">
        <f t="shared" si="6"/>
        <v>0.8649997925</v>
      </c>
      <c r="N10" s="32">
        <f t="shared" si="6"/>
        <v>0.862278943</v>
      </c>
      <c r="O10" s="32">
        <f t="shared" si="6"/>
        <v>0.8611566047</v>
      </c>
      <c r="P10" s="32">
        <f t="shared" si="6"/>
        <v>0.8608917764</v>
      </c>
      <c r="Q10" s="32">
        <f t="shared" si="6"/>
        <v>0.8608917764</v>
      </c>
      <c r="R10" s="31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18"/>
      <c r="B11" s="36" t="s">
        <v>23</v>
      </c>
      <c r="C11" s="32"/>
      <c r="D11" s="32">
        <f t="shared" ref="D11:Q11" si="7">+D9/C9-1</f>
        <v>0.2382172346</v>
      </c>
      <c r="E11" s="32">
        <f t="shared" si="7"/>
        <v>0.04530367251</v>
      </c>
      <c r="F11" s="32">
        <f t="shared" si="7"/>
        <v>0.006600885475</v>
      </c>
      <c r="G11" s="33">
        <f t="shared" si="7"/>
        <v>0.04459806265</v>
      </c>
      <c r="H11" s="32">
        <f t="shared" si="7"/>
        <v>0.0532075625</v>
      </c>
      <c r="I11" s="32">
        <f t="shared" si="7"/>
        <v>0.06664421864</v>
      </c>
      <c r="J11" s="32">
        <f t="shared" si="7"/>
        <v>0.08874513644</v>
      </c>
      <c r="K11" s="32">
        <f t="shared" si="7"/>
        <v>0.09405855218</v>
      </c>
      <c r="L11" s="32">
        <f t="shared" si="7"/>
        <v>0.1048768225</v>
      </c>
      <c r="M11" s="32">
        <f t="shared" si="7"/>
        <v>0.08754410753</v>
      </c>
      <c r="N11" s="32">
        <f t="shared" si="7"/>
        <v>0.0701079156</v>
      </c>
      <c r="O11" s="32">
        <f t="shared" si="7"/>
        <v>0.05263859539</v>
      </c>
      <c r="P11" s="32">
        <f t="shared" si="7"/>
        <v>0.03800021059</v>
      </c>
      <c r="Q11" s="32">
        <f t="shared" si="7"/>
        <v>0.0201</v>
      </c>
      <c r="R11" s="31"/>
      <c r="S11" s="31"/>
      <c r="T11" s="31"/>
      <c r="U11" s="31"/>
      <c r="V11" s="31"/>
      <c r="W11" s="31"/>
      <c r="X11" s="31"/>
      <c r="Y11" s="31"/>
      <c r="Z11" s="31"/>
    </row>
    <row r="12" ht="12.75" customHeight="1">
      <c r="A12" s="16"/>
      <c r="B12" s="37"/>
      <c r="C12" s="30"/>
      <c r="D12" s="30"/>
      <c r="E12" s="30"/>
      <c r="F12" s="30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16"/>
      <c r="B13" s="37" t="s">
        <v>24</v>
      </c>
      <c r="C13" s="30">
        <f t="shared" ref="C13:G13" si="8">+C$9*C14</f>
        <v>96.15371074</v>
      </c>
      <c r="D13" s="30">
        <f t="shared" si="8"/>
        <v>119.0591818</v>
      </c>
      <c r="E13" s="30">
        <f t="shared" si="8"/>
        <v>124.453</v>
      </c>
      <c r="F13" s="30">
        <f t="shared" si="8"/>
        <v>125.2745</v>
      </c>
      <c r="G13" s="34">
        <f t="shared" si="8"/>
        <v>130.8615</v>
      </c>
      <c r="H13" s="30">
        <f t="shared" ref="H13:Q13" si="9">+H17*H20</f>
        <v>138.3183154</v>
      </c>
      <c r="I13" s="30">
        <f t="shared" si="9"/>
        <v>148.2331383</v>
      </c>
      <c r="J13" s="30">
        <f t="shared" si="9"/>
        <v>162.3288497</v>
      </c>
      <c r="K13" s="30">
        <f t="shared" si="9"/>
        <v>178.8214609</v>
      </c>
      <c r="L13" s="30">
        <f t="shared" si="9"/>
        <v>200.2442719</v>
      </c>
      <c r="M13" s="30">
        <f t="shared" si="9"/>
        <v>219.7240346</v>
      </c>
      <c r="N13" s="30">
        <f t="shared" si="9"/>
        <v>236.1681814</v>
      </c>
      <c r="O13" s="30">
        <f t="shared" si="9"/>
        <v>248.5622875</v>
      </c>
      <c r="P13" s="30">
        <f t="shared" si="9"/>
        <v>258.5793477</v>
      </c>
      <c r="Q13" s="30">
        <f t="shared" si="9"/>
        <v>263.7767926</v>
      </c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18"/>
      <c r="B14" s="36" t="s">
        <v>25</v>
      </c>
      <c r="C14" s="38">
        <v>0.5</v>
      </c>
      <c r="D14" s="32">
        <f t="shared" ref="D14:G14" si="10">+C14</f>
        <v>0.5</v>
      </c>
      <c r="E14" s="32">
        <f t="shared" si="10"/>
        <v>0.5</v>
      </c>
      <c r="F14" s="32">
        <f t="shared" si="10"/>
        <v>0.5</v>
      </c>
      <c r="G14" s="33">
        <f t="shared" si="10"/>
        <v>0.5</v>
      </c>
      <c r="H14" s="32">
        <f t="shared" ref="H14:Q14" si="11">+H13/H9</f>
        <v>0.5017921147</v>
      </c>
      <c r="I14" s="32">
        <f t="shared" si="11"/>
        <v>0.5041617122</v>
      </c>
      <c r="J14" s="32">
        <f t="shared" si="11"/>
        <v>0.5071005024</v>
      </c>
      <c r="K14" s="32">
        <f t="shared" si="11"/>
        <v>0.5105959936</v>
      </c>
      <c r="L14" s="32">
        <f t="shared" si="11"/>
        <v>0.5174924317</v>
      </c>
      <c r="M14" s="32">
        <f t="shared" si="11"/>
        <v>0.522125118</v>
      </c>
      <c r="N14" s="32">
        <f t="shared" si="11"/>
        <v>0.5244339881</v>
      </c>
      <c r="O14" s="32">
        <f t="shared" si="11"/>
        <v>0.5243549744</v>
      </c>
      <c r="P14" s="32">
        <f t="shared" si="11"/>
        <v>0.5255167333</v>
      </c>
      <c r="Q14" s="32">
        <f t="shared" si="11"/>
        <v>0.5255167333</v>
      </c>
      <c r="R14" s="31"/>
      <c r="S14" s="31"/>
      <c r="T14" s="31"/>
      <c r="U14" s="31"/>
      <c r="V14" s="31"/>
      <c r="W14" s="31"/>
      <c r="X14" s="31"/>
      <c r="Y14" s="31"/>
      <c r="Z14" s="31"/>
    </row>
    <row r="15" ht="12.75" customHeight="1">
      <c r="A15" s="18"/>
      <c r="B15" s="36" t="s">
        <v>23</v>
      </c>
      <c r="C15" s="32"/>
      <c r="D15" s="32">
        <f t="shared" ref="D15:Q15" si="12">+D13/C13-1</f>
        <v>0.2382172346</v>
      </c>
      <c r="E15" s="32">
        <f t="shared" si="12"/>
        <v>0.04530367251</v>
      </c>
      <c r="F15" s="32">
        <f t="shared" si="12"/>
        <v>0.006600885475</v>
      </c>
      <c r="G15" s="33">
        <f t="shared" si="12"/>
        <v>0.04459806265</v>
      </c>
      <c r="H15" s="32">
        <f t="shared" si="12"/>
        <v>0.0569825</v>
      </c>
      <c r="I15" s="32">
        <f t="shared" si="12"/>
        <v>0.0716812</v>
      </c>
      <c r="J15" s="32">
        <f t="shared" si="12"/>
        <v>0.0950915</v>
      </c>
      <c r="K15" s="32">
        <f t="shared" si="12"/>
        <v>0.1016</v>
      </c>
      <c r="L15" s="32">
        <f t="shared" si="12"/>
        <v>0.1198</v>
      </c>
      <c r="M15" s="32">
        <f t="shared" si="12"/>
        <v>0.09728</v>
      </c>
      <c r="N15" s="32">
        <f t="shared" si="12"/>
        <v>0.07484</v>
      </c>
      <c r="O15" s="32">
        <f t="shared" si="12"/>
        <v>0.05248</v>
      </c>
      <c r="P15" s="32">
        <f t="shared" si="12"/>
        <v>0.0403</v>
      </c>
      <c r="Q15" s="32">
        <f t="shared" si="12"/>
        <v>0.0201</v>
      </c>
      <c r="R15" s="31"/>
      <c r="S15" s="31"/>
      <c r="T15" s="31"/>
      <c r="U15" s="31"/>
      <c r="V15" s="31"/>
      <c r="W15" s="31"/>
      <c r="X15" s="31"/>
      <c r="Y15" s="31"/>
      <c r="Z15" s="31"/>
    </row>
    <row r="16" ht="12.75" customHeight="1">
      <c r="A16" s="16"/>
      <c r="B16" s="37"/>
      <c r="C16" s="30"/>
      <c r="D16" s="30"/>
      <c r="E16" s="30"/>
      <c r="F16" s="30"/>
      <c r="G16" s="34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6"/>
      <c r="B17" s="36" t="s">
        <v>26</v>
      </c>
      <c r="C17" s="30">
        <f t="shared" ref="C17:G17" si="13">+C13/C20</f>
        <v>24.03842769</v>
      </c>
      <c r="D17" s="30">
        <f t="shared" si="13"/>
        <v>26.51628534</v>
      </c>
      <c r="E17" s="30">
        <f t="shared" si="13"/>
        <v>27.29181808</v>
      </c>
      <c r="F17" s="30">
        <f t="shared" si="13"/>
        <v>27.2328637</v>
      </c>
      <c r="G17" s="34">
        <f t="shared" si="13"/>
        <v>28.20064106</v>
      </c>
      <c r="H17" s="30">
        <f t="shared" ref="H17:Q17" si="14">+G17*(1+H18)</f>
        <v>29.61067311</v>
      </c>
      <c r="I17" s="30">
        <f t="shared" si="14"/>
        <v>31.3873135</v>
      </c>
      <c r="J17" s="30">
        <f t="shared" si="14"/>
        <v>33.58442544</v>
      </c>
      <c r="K17" s="30">
        <f t="shared" si="14"/>
        <v>36.27117948</v>
      </c>
      <c r="L17" s="30">
        <f t="shared" si="14"/>
        <v>39.89829742</v>
      </c>
      <c r="M17" s="30">
        <f t="shared" si="14"/>
        <v>43.09016122</v>
      </c>
      <c r="N17" s="30">
        <f t="shared" si="14"/>
        <v>45.67557089</v>
      </c>
      <c r="O17" s="30">
        <f t="shared" si="14"/>
        <v>47.50259373</v>
      </c>
      <c r="P17" s="30">
        <f t="shared" si="14"/>
        <v>48.92767154</v>
      </c>
      <c r="Q17" s="30">
        <f t="shared" si="14"/>
        <v>49.41694825</v>
      </c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16"/>
      <c r="B18" s="36" t="s">
        <v>23</v>
      </c>
      <c r="C18" s="32"/>
      <c r="D18" s="32">
        <f t="shared" ref="D18:G18" si="15">D17/C17-1</f>
        <v>0.1030790235</v>
      </c>
      <c r="E18" s="32">
        <f t="shared" si="15"/>
        <v>0.02924741286</v>
      </c>
      <c r="F18" s="39">
        <f t="shared" si="15"/>
        <v>-0.002160148422</v>
      </c>
      <c r="G18" s="33">
        <f t="shared" si="15"/>
        <v>0.03553711292</v>
      </c>
      <c r="H18" s="32">
        <f>Assumptions!I13</f>
        <v>0.05</v>
      </c>
      <c r="I18" s="32">
        <f>Assumptions!J13</f>
        <v>0.06</v>
      </c>
      <c r="J18" s="32">
        <f>Assumptions!K13</f>
        <v>0.07</v>
      </c>
      <c r="K18" s="32">
        <f>Assumptions!L13</f>
        <v>0.08</v>
      </c>
      <c r="L18" s="32">
        <f>Assumptions!M13</f>
        <v>0.1</v>
      </c>
      <c r="M18" s="32">
        <f>Assumptions!N13</f>
        <v>0.08</v>
      </c>
      <c r="N18" s="32">
        <f>Assumptions!O13</f>
        <v>0.06</v>
      </c>
      <c r="O18" s="32">
        <f>Assumptions!P13</f>
        <v>0.04</v>
      </c>
      <c r="P18" s="32">
        <f>Assumptions!Q13</f>
        <v>0.03</v>
      </c>
      <c r="Q18" s="32">
        <f>Assumptions!R13</f>
        <v>0.01</v>
      </c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6"/>
      <c r="B19" s="36"/>
      <c r="C19" s="30"/>
      <c r="D19" s="30"/>
      <c r="E19" s="30"/>
      <c r="F19" s="30"/>
      <c r="G19" s="34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16"/>
      <c r="B20" s="36" t="s">
        <v>27</v>
      </c>
      <c r="C20" s="40">
        <v>4.0</v>
      </c>
      <c r="D20" s="30">
        <f t="shared" ref="D20:G20" si="16">C20*(1+D21)</f>
        <v>4.49004</v>
      </c>
      <c r="E20" s="30">
        <f t="shared" si="16"/>
        <v>4.560084624</v>
      </c>
      <c r="F20" s="30">
        <f t="shared" si="16"/>
        <v>4.600122167</v>
      </c>
      <c r="G20" s="34">
        <f t="shared" si="16"/>
        <v>4.640373236</v>
      </c>
      <c r="H20" s="30">
        <f t="shared" ref="H20:Q20" si="17">+G20*(1+H21)</f>
        <v>4.671231718</v>
      </c>
      <c r="I20" s="30">
        <f t="shared" si="17"/>
        <v>4.722708692</v>
      </c>
      <c r="J20" s="30">
        <f t="shared" si="17"/>
        <v>4.83345621</v>
      </c>
      <c r="K20" s="30">
        <f t="shared" si="17"/>
        <v>4.930125335</v>
      </c>
      <c r="L20" s="30">
        <f t="shared" si="17"/>
        <v>5.018867591</v>
      </c>
      <c r="M20" s="30">
        <f t="shared" si="17"/>
        <v>5.099169472</v>
      </c>
      <c r="N20" s="30">
        <f t="shared" si="17"/>
        <v>5.170557845</v>
      </c>
      <c r="O20" s="30">
        <f t="shared" si="17"/>
        <v>5.232604539</v>
      </c>
      <c r="P20" s="30">
        <f t="shared" si="17"/>
        <v>5.284930584</v>
      </c>
      <c r="Q20" s="30">
        <f t="shared" si="17"/>
        <v>5.33777989</v>
      </c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16"/>
      <c r="B21" s="36" t="s">
        <v>23</v>
      </c>
      <c r="C21" s="32"/>
      <c r="D21" s="38">
        <v>0.12251</v>
      </c>
      <c r="E21" s="38">
        <v>0.0156</v>
      </c>
      <c r="F21" s="38">
        <v>0.00878</v>
      </c>
      <c r="G21" s="41">
        <v>0.00875</v>
      </c>
      <c r="H21" s="42">
        <v>0.00665</v>
      </c>
      <c r="I21" s="42">
        <v>0.01102</v>
      </c>
      <c r="J21" s="42">
        <v>0.02345</v>
      </c>
      <c r="K21" s="43">
        <v>0.02</v>
      </c>
      <c r="L21" s="43">
        <v>0.018</v>
      </c>
      <c r="M21" s="43">
        <v>0.016</v>
      </c>
      <c r="N21" s="43">
        <v>0.014</v>
      </c>
      <c r="O21" s="43">
        <v>0.012</v>
      </c>
      <c r="P21" s="43">
        <v>0.01</v>
      </c>
      <c r="Q21" s="43">
        <v>0.01</v>
      </c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16"/>
      <c r="B22" s="37"/>
      <c r="C22" s="30"/>
      <c r="D22" s="30"/>
      <c r="E22" s="30"/>
      <c r="F22" s="30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16"/>
      <c r="B23" s="37"/>
      <c r="C23" s="30"/>
      <c r="D23" s="30"/>
      <c r="E23" s="30"/>
      <c r="F23" s="30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16"/>
      <c r="B24" s="37" t="s">
        <v>28</v>
      </c>
      <c r="C24" s="30">
        <f t="shared" ref="C24:G24" si="18">+C$9*C25</f>
        <v>48.07685537</v>
      </c>
      <c r="D24" s="30">
        <f t="shared" si="18"/>
        <v>59.52959091</v>
      </c>
      <c r="E24" s="30">
        <f t="shared" si="18"/>
        <v>62.2265</v>
      </c>
      <c r="F24" s="30">
        <f t="shared" si="18"/>
        <v>62.63725</v>
      </c>
      <c r="G24" s="34">
        <f t="shared" si="18"/>
        <v>65.43075</v>
      </c>
      <c r="H24" s="30">
        <f t="shared" ref="H24:Q24" si="19">+H28*H31</f>
        <v>68.50049907</v>
      </c>
      <c r="I24" s="30">
        <f t="shared" si="19"/>
        <v>72.7181433</v>
      </c>
      <c r="J24" s="30">
        <f t="shared" si="19"/>
        <v>78.88878678</v>
      </c>
      <c r="K24" s="30">
        <f t="shared" si="19"/>
        <v>86.09922189</v>
      </c>
      <c r="L24" s="30">
        <f t="shared" si="19"/>
        <v>94.66092852</v>
      </c>
      <c r="M24" s="30">
        <f t="shared" si="19"/>
        <v>102.9077886</v>
      </c>
      <c r="N24" s="30">
        <f t="shared" si="19"/>
        <v>110.6094075</v>
      </c>
      <c r="O24" s="30">
        <f t="shared" si="19"/>
        <v>117.5335564</v>
      </c>
      <c r="P24" s="30">
        <f t="shared" si="19"/>
        <v>122.2701587</v>
      </c>
      <c r="Q24" s="30">
        <f t="shared" si="19"/>
        <v>124.7277889</v>
      </c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8"/>
      <c r="B25" s="36" t="s">
        <v>25</v>
      </c>
      <c r="C25" s="38">
        <v>0.25</v>
      </c>
      <c r="D25" s="32">
        <f t="shared" ref="D25:G25" si="20">+C25</f>
        <v>0.25</v>
      </c>
      <c r="E25" s="32">
        <f t="shared" si="20"/>
        <v>0.25</v>
      </c>
      <c r="F25" s="32">
        <f t="shared" si="20"/>
        <v>0.25</v>
      </c>
      <c r="G25" s="33">
        <f t="shared" si="20"/>
        <v>0.25</v>
      </c>
      <c r="H25" s="32">
        <f t="shared" ref="H25:Q25" si="21">+H24/H9</f>
        <v>0.2485065711</v>
      </c>
      <c r="I25" s="32">
        <f t="shared" si="21"/>
        <v>0.2473246136</v>
      </c>
      <c r="J25" s="32">
        <f t="shared" si="21"/>
        <v>0.2464413657</v>
      </c>
      <c r="K25" s="32">
        <f t="shared" si="21"/>
        <v>0.2458425154</v>
      </c>
      <c r="L25" s="32">
        <f t="shared" si="21"/>
        <v>0.2446327859</v>
      </c>
      <c r="M25" s="32">
        <f t="shared" si="21"/>
        <v>0.2445373869</v>
      </c>
      <c r="N25" s="32">
        <f t="shared" si="21"/>
        <v>0.2456187466</v>
      </c>
      <c r="O25" s="32">
        <f t="shared" si="21"/>
        <v>0.2479431034</v>
      </c>
      <c r="P25" s="32">
        <f t="shared" si="21"/>
        <v>0.2484924452</v>
      </c>
      <c r="Q25" s="32">
        <f t="shared" si="21"/>
        <v>0.2484924452</v>
      </c>
      <c r="R25" s="31"/>
      <c r="S25" s="31"/>
      <c r="T25" s="31"/>
      <c r="U25" s="31"/>
      <c r="V25" s="31"/>
      <c r="W25" s="31"/>
      <c r="X25" s="31"/>
      <c r="Y25" s="31"/>
      <c r="Z25" s="31"/>
    </row>
    <row r="26" ht="12.75" customHeight="1">
      <c r="A26" s="18"/>
      <c r="B26" s="36" t="s">
        <v>23</v>
      </c>
      <c r="C26" s="32"/>
      <c r="D26" s="32">
        <f t="shared" ref="D26:Q26" si="22">+D24/C24-1</f>
        <v>0.2382172346</v>
      </c>
      <c r="E26" s="32">
        <f t="shared" si="22"/>
        <v>0.04530367251</v>
      </c>
      <c r="F26" s="32">
        <f t="shared" si="22"/>
        <v>0.006600885475</v>
      </c>
      <c r="G26" s="33">
        <f t="shared" si="22"/>
        <v>0.04459806265</v>
      </c>
      <c r="H26" s="32">
        <f t="shared" si="22"/>
        <v>0.046916</v>
      </c>
      <c r="I26" s="32">
        <f t="shared" si="22"/>
        <v>0.061571</v>
      </c>
      <c r="J26" s="32">
        <f t="shared" si="22"/>
        <v>0.084857</v>
      </c>
      <c r="K26" s="32">
        <f t="shared" si="22"/>
        <v>0.0914</v>
      </c>
      <c r="L26" s="32">
        <f t="shared" si="22"/>
        <v>0.09944</v>
      </c>
      <c r="M26" s="32">
        <f t="shared" si="22"/>
        <v>0.08712</v>
      </c>
      <c r="N26" s="32">
        <f t="shared" si="22"/>
        <v>0.07484</v>
      </c>
      <c r="O26" s="32">
        <f t="shared" si="22"/>
        <v>0.0626</v>
      </c>
      <c r="P26" s="32">
        <f t="shared" si="22"/>
        <v>0.0403</v>
      </c>
      <c r="Q26" s="32">
        <f t="shared" si="22"/>
        <v>0.0201</v>
      </c>
      <c r="R26" s="31"/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16"/>
      <c r="B27" s="37"/>
      <c r="C27" s="30"/>
      <c r="D27" s="30"/>
      <c r="E27" s="30"/>
      <c r="F27" s="30"/>
      <c r="G27" s="34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16"/>
      <c r="B28" s="36" t="s">
        <v>29</v>
      </c>
      <c r="C28" s="30">
        <f t="shared" ref="C28:G28" si="23">+C24/C31</f>
        <v>96.15371074</v>
      </c>
      <c r="D28" s="30">
        <f t="shared" si="23"/>
        <v>106.0651414</v>
      </c>
      <c r="E28" s="30">
        <f t="shared" si="23"/>
        <v>109.1672723</v>
      </c>
      <c r="F28" s="30">
        <f t="shared" si="23"/>
        <v>108.9314548</v>
      </c>
      <c r="G28" s="34">
        <f t="shared" si="23"/>
        <v>112.8025642</v>
      </c>
      <c r="H28" s="30">
        <f t="shared" ref="H28:Q28" si="24">+G28*(1+H29)</f>
        <v>117.3146668</v>
      </c>
      <c r="I28" s="30">
        <f t="shared" si="24"/>
        <v>123.1804001</v>
      </c>
      <c r="J28" s="30">
        <f t="shared" si="24"/>
        <v>130.5712241</v>
      </c>
      <c r="K28" s="30">
        <f t="shared" si="24"/>
        <v>139.7112098</v>
      </c>
      <c r="L28" s="30">
        <f t="shared" si="24"/>
        <v>150.8881066</v>
      </c>
      <c r="M28" s="30">
        <f t="shared" si="24"/>
        <v>161.4502741</v>
      </c>
      <c r="N28" s="30">
        <f t="shared" si="24"/>
        <v>171.1372905</v>
      </c>
      <c r="O28" s="30">
        <f t="shared" si="24"/>
        <v>179.6941551</v>
      </c>
      <c r="P28" s="30">
        <f t="shared" si="24"/>
        <v>185.0849797</v>
      </c>
      <c r="Q28" s="30">
        <f t="shared" si="24"/>
        <v>186.9358295</v>
      </c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18"/>
      <c r="B29" s="36" t="s">
        <v>23</v>
      </c>
      <c r="C29" s="32"/>
      <c r="D29" s="32">
        <f t="shared" ref="D29:G29" si="25">D28/C28-1</f>
        <v>0.1030790235</v>
      </c>
      <c r="E29" s="32">
        <f t="shared" si="25"/>
        <v>0.02924741286</v>
      </c>
      <c r="F29" s="39">
        <f t="shared" si="25"/>
        <v>-0.002160148422</v>
      </c>
      <c r="G29" s="33">
        <f t="shared" si="25"/>
        <v>0.03553711292</v>
      </c>
      <c r="H29" s="32">
        <f>Assumptions!I21</f>
        <v>0.04</v>
      </c>
      <c r="I29" s="32">
        <f>Assumptions!J21</f>
        <v>0.05</v>
      </c>
      <c r="J29" s="32">
        <f>Assumptions!K21</f>
        <v>0.06</v>
      </c>
      <c r="K29" s="32">
        <f>Assumptions!L21</f>
        <v>0.07</v>
      </c>
      <c r="L29" s="32">
        <f>Assumptions!M21</f>
        <v>0.08</v>
      </c>
      <c r="M29" s="32">
        <f>Assumptions!N21</f>
        <v>0.07</v>
      </c>
      <c r="N29" s="32">
        <f>Assumptions!O21</f>
        <v>0.06</v>
      </c>
      <c r="O29" s="32">
        <f>Assumptions!P21</f>
        <v>0.05</v>
      </c>
      <c r="P29" s="32">
        <f>Assumptions!Q21</f>
        <v>0.03</v>
      </c>
      <c r="Q29" s="32">
        <f>Assumptions!R21</f>
        <v>0.01</v>
      </c>
      <c r="R29" s="31"/>
      <c r="S29" s="31"/>
      <c r="T29" s="31"/>
      <c r="U29" s="31"/>
      <c r="V29" s="31"/>
      <c r="W29" s="31"/>
      <c r="X29" s="31"/>
      <c r="Y29" s="31"/>
      <c r="Z29" s="31"/>
    </row>
    <row r="30" ht="12.75" customHeight="1">
      <c r="A30" s="16"/>
      <c r="B30" s="36"/>
      <c r="C30" s="30"/>
      <c r="D30" s="30"/>
      <c r="E30" s="30"/>
      <c r="F30" s="30"/>
      <c r="G30" s="3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16"/>
      <c r="B31" s="36" t="s">
        <v>27</v>
      </c>
      <c r="C31" s="40">
        <v>0.5</v>
      </c>
      <c r="D31" s="30">
        <f t="shared" ref="D31:G31" si="26">C31*(1+D32)</f>
        <v>0.561255</v>
      </c>
      <c r="E31" s="30">
        <f t="shared" si="26"/>
        <v>0.570010578</v>
      </c>
      <c r="F31" s="30">
        <f t="shared" si="26"/>
        <v>0.5750152709</v>
      </c>
      <c r="G31" s="34">
        <f t="shared" si="26"/>
        <v>0.5800466545</v>
      </c>
      <c r="H31" s="30">
        <f t="shared" ref="H31:Q31" si="27">+G31*(1+H32)</f>
        <v>0.5839039647</v>
      </c>
      <c r="I31" s="30">
        <f t="shared" si="27"/>
        <v>0.5903385864</v>
      </c>
      <c r="J31" s="30">
        <f t="shared" si="27"/>
        <v>0.6041820263</v>
      </c>
      <c r="K31" s="30">
        <f t="shared" si="27"/>
        <v>0.6162656668</v>
      </c>
      <c r="L31" s="30">
        <f t="shared" si="27"/>
        <v>0.6273584488</v>
      </c>
      <c r="M31" s="30">
        <f t="shared" si="27"/>
        <v>0.637396184</v>
      </c>
      <c r="N31" s="30">
        <f t="shared" si="27"/>
        <v>0.6463197306</v>
      </c>
      <c r="O31" s="30">
        <f t="shared" si="27"/>
        <v>0.6540755673</v>
      </c>
      <c r="P31" s="30">
        <f t="shared" si="27"/>
        <v>0.660616323</v>
      </c>
      <c r="Q31" s="30">
        <f t="shared" si="27"/>
        <v>0.6672224862</v>
      </c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8"/>
      <c r="B32" s="36" t="s">
        <v>23</v>
      </c>
      <c r="C32" s="32"/>
      <c r="D32" s="44">
        <f t="shared" ref="D32:Q32" si="28">+D21</f>
        <v>0.12251</v>
      </c>
      <c r="E32" s="44">
        <f t="shared" si="28"/>
        <v>0.0156</v>
      </c>
      <c r="F32" s="44">
        <f t="shared" si="28"/>
        <v>0.00878</v>
      </c>
      <c r="G32" s="45">
        <f t="shared" si="28"/>
        <v>0.00875</v>
      </c>
      <c r="H32" s="42">
        <f t="shared" si="28"/>
        <v>0.00665</v>
      </c>
      <c r="I32" s="42">
        <f t="shared" si="28"/>
        <v>0.01102</v>
      </c>
      <c r="J32" s="42">
        <f t="shared" si="28"/>
        <v>0.02345</v>
      </c>
      <c r="K32" s="43">
        <f t="shared" si="28"/>
        <v>0.02</v>
      </c>
      <c r="L32" s="43">
        <f t="shared" si="28"/>
        <v>0.018</v>
      </c>
      <c r="M32" s="43">
        <f t="shared" si="28"/>
        <v>0.016</v>
      </c>
      <c r="N32" s="43">
        <f t="shared" si="28"/>
        <v>0.014</v>
      </c>
      <c r="O32" s="43">
        <f t="shared" si="28"/>
        <v>0.012</v>
      </c>
      <c r="P32" s="43">
        <f t="shared" si="28"/>
        <v>0.01</v>
      </c>
      <c r="Q32" s="43">
        <f t="shared" si="28"/>
        <v>0.01</v>
      </c>
      <c r="R32" s="31"/>
      <c r="S32" s="31"/>
      <c r="T32" s="31"/>
      <c r="U32" s="31"/>
      <c r="V32" s="31"/>
      <c r="W32" s="31"/>
      <c r="X32" s="31"/>
      <c r="Y32" s="31"/>
      <c r="Z32" s="31"/>
    </row>
    <row r="33" ht="12.75" customHeight="1">
      <c r="A33" s="16"/>
      <c r="B33" s="37"/>
      <c r="C33" s="30"/>
      <c r="D33" s="30"/>
      <c r="E33" s="30"/>
      <c r="F33" s="30"/>
      <c r="G33" s="3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16"/>
      <c r="B34" s="37"/>
      <c r="C34" s="30"/>
      <c r="D34" s="30"/>
      <c r="E34" s="30"/>
      <c r="F34" s="30"/>
      <c r="G34" s="3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6"/>
      <c r="B35" s="37" t="s">
        <v>30</v>
      </c>
      <c r="C35" s="30">
        <f t="shared" ref="C35:G35" si="29">+C$9*C36</f>
        <v>48.07685537</v>
      </c>
      <c r="D35" s="30">
        <f t="shared" si="29"/>
        <v>59.52959091</v>
      </c>
      <c r="E35" s="30">
        <f t="shared" si="29"/>
        <v>62.2265</v>
      </c>
      <c r="F35" s="30">
        <f t="shared" si="29"/>
        <v>62.63725</v>
      </c>
      <c r="G35" s="34">
        <f t="shared" si="29"/>
        <v>65.43075</v>
      </c>
      <c r="H35" s="30">
        <f t="shared" ref="H35:Q35" si="30">+H39*H42</f>
        <v>68.82982839</v>
      </c>
      <c r="I35" s="30">
        <f t="shared" si="30"/>
        <v>73.06774975</v>
      </c>
      <c r="J35" s="30">
        <f t="shared" si="30"/>
        <v>78.89415385</v>
      </c>
      <c r="K35" s="30">
        <f t="shared" si="30"/>
        <v>85.30035914</v>
      </c>
      <c r="L35" s="30">
        <f t="shared" si="30"/>
        <v>92.04591155</v>
      </c>
      <c r="M35" s="30">
        <f t="shared" si="30"/>
        <v>98.19457844</v>
      </c>
      <c r="N35" s="30">
        <f t="shared" si="30"/>
        <v>103.5520746</v>
      </c>
      <c r="O35" s="30">
        <f t="shared" si="30"/>
        <v>107.9385405</v>
      </c>
      <c r="P35" s="30">
        <f t="shared" si="30"/>
        <v>111.1982844</v>
      </c>
      <c r="Q35" s="30">
        <f t="shared" si="30"/>
        <v>113.43337</v>
      </c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18"/>
      <c r="B36" s="36" t="s">
        <v>25</v>
      </c>
      <c r="C36" s="38">
        <v>0.25</v>
      </c>
      <c r="D36" s="32">
        <f t="shared" ref="D36:G36" si="31">+C36</f>
        <v>0.25</v>
      </c>
      <c r="E36" s="32">
        <f t="shared" si="31"/>
        <v>0.25</v>
      </c>
      <c r="F36" s="32">
        <f t="shared" si="31"/>
        <v>0.25</v>
      </c>
      <c r="G36" s="33">
        <f t="shared" si="31"/>
        <v>0.25</v>
      </c>
      <c r="H36" s="32">
        <f t="shared" ref="H36:Q36" si="32">+H35/H9</f>
        <v>0.2497013142</v>
      </c>
      <c r="I36" s="32">
        <f t="shared" si="32"/>
        <v>0.2485136742</v>
      </c>
      <c r="J36" s="32">
        <f t="shared" si="32"/>
        <v>0.2464581319</v>
      </c>
      <c r="K36" s="32">
        <f t="shared" si="32"/>
        <v>0.243561491</v>
      </c>
      <c r="L36" s="32">
        <f t="shared" si="32"/>
        <v>0.2378747824</v>
      </c>
      <c r="M36" s="32">
        <f t="shared" si="32"/>
        <v>0.2333374951</v>
      </c>
      <c r="N36" s="32">
        <f t="shared" si="32"/>
        <v>0.2299472654</v>
      </c>
      <c r="O36" s="32">
        <f t="shared" si="32"/>
        <v>0.2277019222</v>
      </c>
      <c r="P36" s="32">
        <f t="shared" si="32"/>
        <v>0.2259908214</v>
      </c>
      <c r="Q36" s="32">
        <f t="shared" si="32"/>
        <v>0.2259908214</v>
      </c>
      <c r="R36" s="31"/>
      <c r="S36" s="31"/>
      <c r="T36" s="31"/>
      <c r="U36" s="31"/>
      <c r="V36" s="31"/>
      <c r="W36" s="31"/>
      <c r="X36" s="31"/>
      <c r="Y36" s="31"/>
      <c r="Z36" s="31"/>
    </row>
    <row r="37" ht="12.75" customHeight="1">
      <c r="A37" s="18"/>
      <c r="B37" s="36" t="s">
        <v>23</v>
      </c>
      <c r="C37" s="32"/>
      <c r="D37" s="32">
        <f t="shared" ref="D37:Q37" si="33">+D35/C35-1</f>
        <v>0.2382172346</v>
      </c>
      <c r="E37" s="32">
        <f t="shared" si="33"/>
        <v>0.04530367251</v>
      </c>
      <c r="F37" s="32">
        <f t="shared" si="33"/>
        <v>0.006600885475</v>
      </c>
      <c r="G37" s="33">
        <f t="shared" si="33"/>
        <v>0.04459806265</v>
      </c>
      <c r="H37" s="32">
        <f t="shared" si="33"/>
        <v>0.05194925</v>
      </c>
      <c r="I37" s="32">
        <f t="shared" si="33"/>
        <v>0.061571</v>
      </c>
      <c r="J37" s="32">
        <f t="shared" si="33"/>
        <v>0.07973975</v>
      </c>
      <c r="K37" s="32">
        <f t="shared" si="33"/>
        <v>0.0812</v>
      </c>
      <c r="L37" s="32">
        <f t="shared" si="33"/>
        <v>0.07908</v>
      </c>
      <c r="M37" s="32">
        <f t="shared" si="33"/>
        <v>0.0668</v>
      </c>
      <c r="N37" s="32">
        <f t="shared" si="33"/>
        <v>0.05456</v>
      </c>
      <c r="O37" s="32">
        <f t="shared" si="33"/>
        <v>0.04236</v>
      </c>
      <c r="P37" s="32">
        <f t="shared" si="33"/>
        <v>0.0302</v>
      </c>
      <c r="Q37" s="32">
        <f t="shared" si="33"/>
        <v>0.0201</v>
      </c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16"/>
      <c r="B38" s="37"/>
      <c r="C38" s="30"/>
      <c r="D38" s="30"/>
      <c r="E38" s="30"/>
      <c r="F38" s="30"/>
      <c r="G38" s="3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36" t="s">
        <v>31</v>
      </c>
      <c r="C39" s="30">
        <f t="shared" ref="C39:G39" si="34">+C35/C42</f>
        <v>32.05123691</v>
      </c>
      <c r="D39" s="30">
        <f t="shared" si="34"/>
        <v>35.35504712</v>
      </c>
      <c r="E39" s="30">
        <f t="shared" si="34"/>
        <v>36.38909078</v>
      </c>
      <c r="F39" s="30">
        <f t="shared" si="34"/>
        <v>36.31048494</v>
      </c>
      <c r="G39" s="34">
        <f t="shared" si="34"/>
        <v>37.60085474</v>
      </c>
      <c r="H39" s="30">
        <f t="shared" ref="H39:Q39" si="35">+G39*(1+H40)</f>
        <v>39.29289321</v>
      </c>
      <c r="I39" s="30">
        <f t="shared" si="35"/>
        <v>41.25753787</v>
      </c>
      <c r="J39" s="30">
        <f t="shared" si="35"/>
        <v>43.52670245</v>
      </c>
      <c r="K39" s="30">
        <f t="shared" si="35"/>
        <v>46.1383046</v>
      </c>
      <c r="L39" s="30">
        <f t="shared" si="35"/>
        <v>48.90660287</v>
      </c>
      <c r="M39" s="30">
        <f t="shared" si="35"/>
        <v>51.35193302</v>
      </c>
      <c r="N39" s="30">
        <f t="shared" si="35"/>
        <v>53.40601034</v>
      </c>
      <c r="O39" s="30">
        <f t="shared" si="35"/>
        <v>55.00819065</v>
      </c>
      <c r="P39" s="30">
        <f t="shared" si="35"/>
        <v>56.10835446</v>
      </c>
      <c r="Q39" s="30">
        <f t="shared" si="35"/>
        <v>56.669438</v>
      </c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36" t="s">
        <v>23</v>
      </c>
      <c r="C40" s="32"/>
      <c r="D40" s="32">
        <f t="shared" ref="D40:G40" si="36">D39/C39-1</f>
        <v>0.1030790235</v>
      </c>
      <c r="E40" s="32">
        <f t="shared" si="36"/>
        <v>0.02924741286</v>
      </c>
      <c r="F40" s="39">
        <f t="shared" si="36"/>
        <v>-0.002160148422</v>
      </c>
      <c r="G40" s="33">
        <f t="shared" si="36"/>
        <v>0.03553711292</v>
      </c>
      <c r="H40" s="32">
        <f>Assumptions!I29</f>
        <v>0.045</v>
      </c>
      <c r="I40" s="32">
        <f>Assumptions!J29</f>
        <v>0.05</v>
      </c>
      <c r="J40" s="32">
        <f>Assumptions!K29</f>
        <v>0.055</v>
      </c>
      <c r="K40" s="32">
        <f>Assumptions!L29</f>
        <v>0.06</v>
      </c>
      <c r="L40" s="32">
        <f>Assumptions!M29</f>
        <v>0.06</v>
      </c>
      <c r="M40" s="32">
        <f>Assumptions!N29</f>
        <v>0.05</v>
      </c>
      <c r="N40" s="32">
        <f>Assumptions!O29</f>
        <v>0.04</v>
      </c>
      <c r="O40" s="32">
        <f>Assumptions!P29</f>
        <v>0.03</v>
      </c>
      <c r="P40" s="32">
        <f>Assumptions!Q29</f>
        <v>0.02</v>
      </c>
      <c r="Q40" s="32">
        <f>Assumptions!R29</f>
        <v>0.01</v>
      </c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36"/>
      <c r="C41" s="30"/>
      <c r="D41" s="30"/>
      <c r="E41" s="30"/>
      <c r="F41" s="30"/>
      <c r="G41" s="3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36" t="s">
        <v>27</v>
      </c>
      <c r="C42" s="40">
        <v>1.5</v>
      </c>
      <c r="D42" s="30">
        <f t="shared" ref="D42:G42" si="37">C42*(1+D43)</f>
        <v>1.683765</v>
      </c>
      <c r="E42" s="30">
        <f t="shared" si="37"/>
        <v>1.710031734</v>
      </c>
      <c r="F42" s="30">
        <f t="shared" si="37"/>
        <v>1.725045813</v>
      </c>
      <c r="G42" s="34">
        <f t="shared" si="37"/>
        <v>1.740139963</v>
      </c>
      <c r="H42" s="30">
        <f t="shared" ref="H42:Q42" si="38">+G42*(1+H43)</f>
        <v>1.751711894</v>
      </c>
      <c r="I42" s="30">
        <f t="shared" si="38"/>
        <v>1.771015759</v>
      </c>
      <c r="J42" s="30">
        <f t="shared" si="38"/>
        <v>1.812546079</v>
      </c>
      <c r="K42" s="30">
        <f t="shared" si="38"/>
        <v>1.848797</v>
      </c>
      <c r="L42" s="30">
        <f t="shared" si="38"/>
        <v>1.882075346</v>
      </c>
      <c r="M42" s="30">
        <f t="shared" si="38"/>
        <v>1.912188552</v>
      </c>
      <c r="N42" s="30">
        <f t="shared" si="38"/>
        <v>1.938959192</v>
      </c>
      <c r="O42" s="30">
        <f t="shared" si="38"/>
        <v>1.962226702</v>
      </c>
      <c r="P42" s="30">
        <f t="shared" si="38"/>
        <v>1.981848969</v>
      </c>
      <c r="Q42" s="30">
        <f t="shared" si="38"/>
        <v>2.001667459</v>
      </c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6"/>
      <c r="B43" s="36" t="s">
        <v>23</v>
      </c>
      <c r="C43" s="32"/>
      <c r="D43" s="44">
        <f t="shared" ref="D43:Q43" si="39">+D32</f>
        <v>0.12251</v>
      </c>
      <c r="E43" s="44">
        <f t="shared" si="39"/>
        <v>0.0156</v>
      </c>
      <c r="F43" s="44">
        <f t="shared" si="39"/>
        <v>0.00878</v>
      </c>
      <c r="G43" s="45">
        <f t="shared" si="39"/>
        <v>0.00875</v>
      </c>
      <c r="H43" s="42">
        <f t="shared" si="39"/>
        <v>0.00665</v>
      </c>
      <c r="I43" s="42">
        <f t="shared" si="39"/>
        <v>0.01102</v>
      </c>
      <c r="J43" s="42">
        <f t="shared" si="39"/>
        <v>0.02345</v>
      </c>
      <c r="K43" s="43">
        <f t="shared" si="39"/>
        <v>0.02</v>
      </c>
      <c r="L43" s="43">
        <f t="shared" si="39"/>
        <v>0.018</v>
      </c>
      <c r="M43" s="43">
        <f t="shared" si="39"/>
        <v>0.016</v>
      </c>
      <c r="N43" s="43">
        <f t="shared" si="39"/>
        <v>0.014</v>
      </c>
      <c r="O43" s="43">
        <f t="shared" si="39"/>
        <v>0.012</v>
      </c>
      <c r="P43" s="43">
        <f t="shared" si="39"/>
        <v>0.01</v>
      </c>
      <c r="Q43" s="43">
        <f t="shared" si="39"/>
        <v>0.01</v>
      </c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6"/>
      <c r="B44" s="37"/>
      <c r="C44" s="30"/>
      <c r="D44" s="30"/>
      <c r="E44" s="30"/>
      <c r="F44" s="30"/>
      <c r="G44" s="3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16"/>
      <c r="B45" s="35" t="s">
        <v>32</v>
      </c>
      <c r="C45" s="28">
        <f t="shared" ref="C45:G45" si="40">+C55*C58</f>
        <v>20.33057851</v>
      </c>
      <c r="D45" s="28">
        <f t="shared" si="40"/>
        <v>22.36363636</v>
      </c>
      <c r="E45" s="28">
        <f t="shared" si="40"/>
        <v>24.6</v>
      </c>
      <c r="F45" s="28">
        <f t="shared" si="40"/>
        <v>27.06</v>
      </c>
      <c r="G45" s="29">
        <f t="shared" si="40"/>
        <v>29.766</v>
      </c>
      <c r="H45" s="28">
        <f t="shared" ref="H45:Q45" si="41">+H49*H52</f>
        <v>32.96033829</v>
      </c>
      <c r="I45" s="28">
        <f t="shared" si="41"/>
        <v>36.98915295</v>
      </c>
      <c r="J45" s="28">
        <f t="shared" si="41"/>
        <v>42.39933442</v>
      </c>
      <c r="K45" s="28">
        <f t="shared" si="41"/>
        <v>49.30194606</v>
      </c>
      <c r="L45" s="28">
        <f t="shared" si="41"/>
        <v>57.71778826</v>
      </c>
      <c r="M45" s="28">
        <f t="shared" si="41"/>
        <v>65.67822561</v>
      </c>
      <c r="N45" s="28">
        <f t="shared" si="41"/>
        <v>71.92553843</v>
      </c>
      <c r="O45" s="28">
        <f t="shared" si="41"/>
        <v>76.42807714</v>
      </c>
      <c r="P45" s="28">
        <f t="shared" si="41"/>
        <v>79.50812865</v>
      </c>
      <c r="Q45" s="28">
        <f t="shared" si="41"/>
        <v>81.10624203</v>
      </c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18"/>
      <c r="B46" s="36" t="s">
        <v>22</v>
      </c>
      <c r="C46" s="32">
        <f t="shared" ref="C46:Q46" si="42">+C45/C6</f>
        <v>0.0956112196</v>
      </c>
      <c r="D46" s="32">
        <f t="shared" si="42"/>
        <v>0.08585482438</v>
      </c>
      <c r="E46" s="32">
        <f t="shared" si="42"/>
        <v>0.08994318223</v>
      </c>
      <c r="F46" s="32">
        <f t="shared" si="42"/>
        <v>0.09747522595</v>
      </c>
      <c r="G46" s="33">
        <f t="shared" si="42"/>
        <v>0.102117061</v>
      </c>
      <c r="H46" s="32">
        <f t="shared" si="42"/>
        <v>0.1068029134</v>
      </c>
      <c r="I46" s="32">
        <f t="shared" si="42"/>
        <v>0.1117469438</v>
      </c>
      <c r="J46" s="32">
        <f t="shared" si="42"/>
        <v>0.1169600918</v>
      </c>
      <c r="K46" s="32">
        <f t="shared" si="42"/>
        <v>0.1234020258</v>
      </c>
      <c r="L46" s="32">
        <f t="shared" si="42"/>
        <v>0.1297994715</v>
      </c>
      <c r="M46" s="32">
        <f t="shared" si="42"/>
        <v>0.1350002075</v>
      </c>
      <c r="N46" s="32">
        <f t="shared" si="42"/>
        <v>0.137721057</v>
      </c>
      <c r="O46" s="32">
        <f t="shared" si="42"/>
        <v>0.1388433953</v>
      </c>
      <c r="P46" s="32">
        <f t="shared" si="42"/>
        <v>0.1391082236</v>
      </c>
      <c r="Q46" s="32">
        <f t="shared" si="42"/>
        <v>0.1391082236</v>
      </c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18"/>
      <c r="B47" s="36" t="s">
        <v>23</v>
      </c>
      <c r="C47" s="32"/>
      <c r="D47" s="32">
        <f t="shared" ref="D47:Q47" si="43">+D45/C45-1</f>
        <v>0.1</v>
      </c>
      <c r="E47" s="32">
        <f t="shared" si="43"/>
        <v>0.1</v>
      </c>
      <c r="F47" s="32">
        <f t="shared" si="43"/>
        <v>0.1</v>
      </c>
      <c r="G47" s="33">
        <f t="shared" si="43"/>
        <v>0.1</v>
      </c>
      <c r="H47" s="32">
        <f t="shared" si="43"/>
        <v>0.107315</v>
      </c>
      <c r="I47" s="32">
        <f t="shared" si="43"/>
        <v>0.1222322</v>
      </c>
      <c r="J47" s="32">
        <f t="shared" si="43"/>
        <v>0.146264</v>
      </c>
      <c r="K47" s="32">
        <f t="shared" si="43"/>
        <v>0.1628</v>
      </c>
      <c r="L47" s="32">
        <f t="shared" si="43"/>
        <v>0.1707</v>
      </c>
      <c r="M47" s="32">
        <f t="shared" si="43"/>
        <v>0.13792</v>
      </c>
      <c r="N47" s="32">
        <f t="shared" si="43"/>
        <v>0.09512</v>
      </c>
      <c r="O47" s="32">
        <f t="shared" si="43"/>
        <v>0.0626</v>
      </c>
      <c r="P47" s="32">
        <f t="shared" si="43"/>
        <v>0.0403</v>
      </c>
      <c r="Q47" s="32">
        <f t="shared" si="43"/>
        <v>0.0201</v>
      </c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18"/>
      <c r="B48" s="36"/>
      <c r="C48" s="31"/>
      <c r="D48" s="32"/>
      <c r="E48" s="32"/>
      <c r="F48" s="31"/>
      <c r="G48" s="4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16"/>
      <c r="B49" s="36" t="s">
        <v>33</v>
      </c>
      <c r="C49" s="30">
        <f t="shared" ref="C49:G49" si="44">+C45/C52</f>
        <v>2.033057851</v>
      </c>
      <c r="D49" s="30">
        <f t="shared" si="44"/>
        <v>1.992288386</v>
      </c>
      <c r="E49" s="30">
        <f t="shared" si="44"/>
        <v>2.157854692</v>
      </c>
      <c r="F49" s="30">
        <f t="shared" si="44"/>
        <v>2.352980988</v>
      </c>
      <c r="G49" s="34">
        <f t="shared" si="44"/>
        <v>2.565828091</v>
      </c>
      <c r="H49" s="30">
        <f t="shared" ref="H49:Q49" si="45">+G49*(1+H50)</f>
        <v>2.8224109</v>
      </c>
      <c r="I49" s="30">
        <f t="shared" si="45"/>
        <v>3.132876099</v>
      </c>
      <c r="J49" s="30">
        <f t="shared" si="45"/>
        <v>3.508821231</v>
      </c>
      <c r="K49" s="30">
        <f t="shared" si="45"/>
        <v>4.000056203</v>
      </c>
      <c r="L49" s="30">
        <f t="shared" si="45"/>
        <v>4.600064633</v>
      </c>
      <c r="M49" s="30">
        <f t="shared" si="45"/>
        <v>5.152072389</v>
      </c>
      <c r="N49" s="30">
        <f t="shared" si="45"/>
        <v>5.56423818</v>
      </c>
      <c r="O49" s="30">
        <f t="shared" si="45"/>
        <v>5.842450089</v>
      </c>
      <c r="P49" s="30">
        <f t="shared" si="45"/>
        <v>6.017723592</v>
      </c>
      <c r="Q49" s="30">
        <f t="shared" si="45"/>
        <v>6.077900828</v>
      </c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16"/>
      <c r="B50" s="36" t="s">
        <v>23</v>
      </c>
      <c r="C50" s="32"/>
      <c r="D50" s="39">
        <f t="shared" ref="D50:G50" si="46">D49/C49-1</f>
        <v>-0.02005327347</v>
      </c>
      <c r="E50" s="32">
        <f t="shared" si="46"/>
        <v>0.08310358409</v>
      </c>
      <c r="F50" s="32">
        <f t="shared" si="46"/>
        <v>0.0904260592</v>
      </c>
      <c r="G50" s="33">
        <f t="shared" si="46"/>
        <v>0.09045848823</v>
      </c>
      <c r="H50" s="32">
        <f>Assumptions!I37</f>
        <v>0.1</v>
      </c>
      <c r="I50" s="32">
        <f>Assumptions!J37</f>
        <v>0.11</v>
      </c>
      <c r="J50" s="32">
        <f>Assumptions!K37</f>
        <v>0.12</v>
      </c>
      <c r="K50" s="32">
        <f>Assumptions!L37</f>
        <v>0.14</v>
      </c>
      <c r="L50" s="32">
        <f>Assumptions!M37</f>
        <v>0.15</v>
      </c>
      <c r="M50" s="32">
        <f>Assumptions!N37</f>
        <v>0.12</v>
      </c>
      <c r="N50" s="32">
        <f>Assumptions!O37</f>
        <v>0.08</v>
      </c>
      <c r="O50" s="32">
        <f>Assumptions!P37</f>
        <v>0.05</v>
      </c>
      <c r="P50" s="32">
        <f>Assumptions!Q37</f>
        <v>0.03</v>
      </c>
      <c r="Q50" s="32">
        <f>Assumptions!R37</f>
        <v>0.01</v>
      </c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36"/>
      <c r="C51" s="30"/>
      <c r="D51" s="30"/>
      <c r="E51" s="30"/>
      <c r="F51" s="30"/>
      <c r="G51" s="3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36" t="s">
        <v>34</v>
      </c>
      <c r="C52" s="40">
        <v>10.0</v>
      </c>
      <c r="D52" s="30">
        <f t="shared" ref="D52:G52" si="47">C52*(1+D53)</f>
        <v>11.2251</v>
      </c>
      <c r="E52" s="30">
        <f t="shared" si="47"/>
        <v>11.40021156</v>
      </c>
      <c r="F52" s="30">
        <f t="shared" si="47"/>
        <v>11.50030542</v>
      </c>
      <c r="G52" s="34">
        <f t="shared" si="47"/>
        <v>11.60093309</v>
      </c>
      <c r="H52" s="30">
        <f t="shared" ref="H52:Q52" si="48">+G52*(1+H53)</f>
        <v>11.67807929</v>
      </c>
      <c r="I52" s="30">
        <f t="shared" si="48"/>
        <v>11.80677173</v>
      </c>
      <c r="J52" s="30">
        <f t="shared" si="48"/>
        <v>12.08364053</v>
      </c>
      <c r="K52" s="30">
        <f t="shared" si="48"/>
        <v>12.32531334</v>
      </c>
      <c r="L52" s="30">
        <f t="shared" si="48"/>
        <v>12.54716898</v>
      </c>
      <c r="M52" s="30">
        <f t="shared" si="48"/>
        <v>12.74792368</v>
      </c>
      <c r="N52" s="30">
        <f t="shared" si="48"/>
        <v>12.92639461</v>
      </c>
      <c r="O52" s="30">
        <f t="shared" si="48"/>
        <v>13.08151135</v>
      </c>
      <c r="P52" s="30">
        <f t="shared" si="48"/>
        <v>13.21232646</v>
      </c>
      <c r="Q52" s="30">
        <f t="shared" si="48"/>
        <v>13.34444972</v>
      </c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36" t="s">
        <v>23</v>
      </c>
      <c r="C53" s="32"/>
      <c r="D53" s="44">
        <f t="shared" ref="D53:Q53" si="49">+D43</f>
        <v>0.12251</v>
      </c>
      <c r="E53" s="44">
        <f t="shared" si="49"/>
        <v>0.0156</v>
      </c>
      <c r="F53" s="44">
        <f t="shared" si="49"/>
        <v>0.00878</v>
      </c>
      <c r="G53" s="45">
        <f t="shared" si="49"/>
        <v>0.00875</v>
      </c>
      <c r="H53" s="42">
        <f t="shared" si="49"/>
        <v>0.00665</v>
      </c>
      <c r="I53" s="42">
        <f t="shared" si="49"/>
        <v>0.01102</v>
      </c>
      <c r="J53" s="42">
        <f t="shared" si="49"/>
        <v>0.02345</v>
      </c>
      <c r="K53" s="42">
        <f t="shared" si="49"/>
        <v>0.02</v>
      </c>
      <c r="L53" s="42">
        <f t="shared" si="49"/>
        <v>0.018</v>
      </c>
      <c r="M53" s="42">
        <f t="shared" si="49"/>
        <v>0.016</v>
      </c>
      <c r="N53" s="42">
        <f t="shared" si="49"/>
        <v>0.014</v>
      </c>
      <c r="O53" s="42">
        <f t="shared" si="49"/>
        <v>0.012</v>
      </c>
      <c r="P53" s="42">
        <f t="shared" si="49"/>
        <v>0.01</v>
      </c>
      <c r="Q53" s="42">
        <f t="shared" si="49"/>
        <v>0.01</v>
      </c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36"/>
      <c r="C54" s="30"/>
      <c r="D54" s="30"/>
      <c r="E54" s="30"/>
      <c r="F54" s="30"/>
      <c r="G54" s="3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6"/>
      <c r="B55" s="36" t="s">
        <v>35</v>
      </c>
      <c r="C55" s="30">
        <f t="shared" ref="C55:D55" si="50">+D55/(D56+1)</f>
        <v>67.76859504</v>
      </c>
      <c r="D55" s="30">
        <f t="shared" si="50"/>
        <v>74.54545455</v>
      </c>
      <c r="E55" s="47">
        <v>82.0</v>
      </c>
      <c r="F55" s="30">
        <f t="shared" ref="F55:G55" si="51">+E55*(1+F56)</f>
        <v>90.2</v>
      </c>
      <c r="G55" s="34">
        <f t="shared" si="51"/>
        <v>99.22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16"/>
      <c r="B56" s="36" t="s">
        <v>23</v>
      </c>
      <c r="C56" s="30"/>
      <c r="D56" s="44">
        <f>E56</f>
        <v>0.1</v>
      </c>
      <c r="E56" s="38">
        <v>0.1</v>
      </c>
      <c r="F56" s="48">
        <f t="shared" ref="F56:G56" si="52">E56</f>
        <v>0.1</v>
      </c>
      <c r="G56" s="49">
        <f t="shared" si="52"/>
        <v>0.1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37"/>
      <c r="C57" s="30"/>
      <c r="D57" s="30"/>
      <c r="E57" s="50"/>
      <c r="F57" s="30"/>
      <c r="G57" s="3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8"/>
      <c r="B58" s="36" t="s">
        <v>36</v>
      </c>
      <c r="C58" s="44">
        <f>D58</f>
        <v>0.3</v>
      </c>
      <c r="D58" s="44">
        <f>+E58</f>
        <v>0.3</v>
      </c>
      <c r="E58" s="38">
        <v>0.3</v>
      </c>
      <c r="F58" s="44">
        <f t="shared" ref="F58:G58" si="53">E58</f>
        <v>0.3</v>
      </c>
      <c r="G58" s="45">
        <f t="shared" si="53"/>
        <v>0.3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2.75" customHeight="1">
      <c r="A59" s="16"/>
      <c r="B59" s="51"/>
      <c r="C59" s="52"/>
      <c r="D59" s="52"/>
      <c r="E59" s="52"/>
      <c r="F59" s="52"/>
      <c r="G59" s="53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16"/>
      <c r="B60" s="16"/>
      <c r="C60" s="30"/>
      <c r="D60" s="30"/>
      <c r="E60" s="30"/>
      <c r="F60" s="30"/>
      <c r="G60" s="3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37" t="s">
        <v>37</v>
      </c>
      <c r="C61" s="30">
        <v>-2.126</v>
      </c>
      <c r="D61" s="30">
        <v>-2.605</v>
      </c>
      <c r="E61" s="30">
        <v>-4.103</v>
      </c>
      <c r="F61" s="30">
        <v>-5.552</v>
      </c>
      <c r="G61" s="34">
        <v>-8.745</v>
      </c>
      <c r="H61" s="30">
        <f t="shared" ref="H61:Q61" si="54">-H62*H6</f>
        <v>-9.258618817</v>
      </c>
      <c r="I61" s="30">
        <f t="shared" si="54"/>
        <v>-9.930620268</v>
      </c>
      <c r="J61" s="30">
        <f t="shared" si="54"/>
        <v>-10.87574415</v>
      </c>
      <c r="K61" s="30">
        <f t="shared" si="54"/>
        <v>-11.98614195</v>
      </c>
      <c r="L61" s="30">
        <f t="shared" si="54"/>
        <v>-13.34057042</v>
      </c>
      <c r="M61" s="30">
        <f t="shared" si="54"/>
        <v>-14.5956896</v>
      </c>
      <c r="N61" s="30">
        <f t="shared" si="54"/>
        <v>-15.66824731</v>
      </c>
      <c r="O61" s="30">
        <f t="shared" si="54"/>
        <v>-16.51449704</v>
      </c>
      <c r="P61" s="30">
        <f t="shared" si="54"/>
        <v>-17.14732466</v>
      </c>
      <c r="Q61" s="30">
        <f t="shared" si="54"/>
        <v>-17.49198588</v>
      </c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8"/>
      <c r="B62" s="36" t="s">
        <v>22</v>
      </c>
      <c r="C62" s="32">
        <f t="shared" ref="C62:G62" si="55">-C61/C6</f>
        <v>0.009998212925</v>
      </c>
      <c r="D62" s="32">
        <f t="shared" si="55"/>
        <v>0.01000069103</v>
      </c>
      <c r="E62" s="32">
        <f t="shared" si="55"/>
        <v>0.01500149905</v>
      </c>
      <c r="F62" s="32">
        <f t="shared" si="55"/>
        <v>0.01999935161</v>
      </c>
      <c r="G62" s="33">
        <f t="shared" si="55"/>
        <v>0.03000113212</v>
      </c>
      <c r="H62" s="38">
        <f t="shared" ref="H62:Q62" si="56">+G62</f>
        <v>0.03000113212</v>
      </c>
      <c r="I62" s="32">
        <f t="shared" si="56"/>
        <v>0.03000113212</v>
      </c>
      <c r="J62" s="32">
        <f t="shared" si="56"/>
        <v>0.03000113212</v>
      </c>
      <c r="K62" s="32">
        <f t="shared" si="56"/>
        <v>0.03000113212</v>
      </c>
      <c r="L62" s="32">
        <f t="shared" si="56"/>
        <v>0.03000113212</v>
      </c>
      <c r="M62" s="32">
        <f t="shared" si="56"/>
        <v>0.03000113212</v>
      </c>
      <c r="N62" s="32">
        <f t="shared" si="56"/>
        <v>0.03000113212</v>
      </c>
      <c r="O62" s="32">
        <f t="shared" si="56"/>
        <v>0.03000113212</v>
      </c>
      <c r="P62" s="32">
        <f t="shared" si="56"/>
        <v>0.03000113212</v>
      </c>
      <c r="Q62" s="32">
        <f t="shared" si="56"/>
        <v>0.03000113212</v>
      </c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16"/>
      <c r="B63" s="16"/>
      <c r="C63" s="30"/>
      <c r="D63" s="30"/>
      <c r="E63" s="30"/>
      <c r="F63" s="30"/>
      <c r="G63" s="3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16"/>
      <c r="B64" s="27" t="s">
        <v>38</v>
      </c>
      <c r="C64" s="28">
        <f t="shared" ref="C64:Q64" si="57">+C6+C61</f>
        <v>210.512</v>
      </c>
      <c r="D64" s="28">
        <f t="shared" si="57"/>
        <v>257.877</v>
      </c>
      <c r="E64" s="28">
        <f t="shared" si="57"/>
        <v>269.403</v>
      </c>
      <c r="F64" s="28">
        <f t="shared" si="57"/>
        <v>272.057</v>
      </c>
      <c r="G64" s="29">
        <f t="shared" si="57"/>
        <v>282.744</v>
      </c>
      <c r="H64" s="28">
        <f t="shared" si="57"/>
        <v>299.3503624</v>
      </c>
      <c r="I64" s="28">
        <f t="shared" si="57"/>
        <v>321.077564</v>
      </c>
      <c r="J64" s="28">
        <f t="shared" si="57"/>
        <v>351.6353806</v>
      </c>
      <c r="K64" s="28">
        <f t="shared" si="57"/>
        <v>387.536846</v>
      </c>
      <c r="L64" s="28">
        <f t="shared" si="57"/>
        <v>431.3283298</v>
      </c>
      <c r="M64" s="28">
        <f t="shared" si="57"/>
        <v>471.9089377</v>
      </c>
      <c r="N64" s="28">
        <f t="shared" si="57"/>
        <v>506.5869546</v>
      </c>
      <c r="O64" s="28">
        <f t="shared" si="57"/>
        <v>533.9479646</v>
      </c>
      <c r="P64" s="28">
        <f t="shared" si="57"/>
        <v>554.4085949</v>
      </c>
      <c r="Q64" s="28">
        <f t="shared" si="57"/>
        <v>565.5522077</v>
      </c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6"/>
      <c r="B65" s="18" t="s">
        <v>23</v>
      </c>
      <c r="C65" s="30"/>
      <c r="D65" s="32">
        <f t="shared" ref="D65:Q65" si="58">+D64/C64-1</f>
        <v>0.2249990499</v>
      </c>
      <c r="E65" s="32">
        <f t="shared" si="58"/>
        <v>0.04469572703</v>
      </c>
      <c r="F65" s="32">
        <f t="shared" si="58"/>
        <v>0.009851412197</v>
      </c>
      <c r="G65" s="33">
        <f t="shared" si="58"/>
        <v>0.03928220924</v>
      </c>
      <c r="H65" s="32">
        <f t="shared" si="58"/>
        <v>0.058732855</v>
      </c>
      <c r="I65" s="32">
        <f t="shared" si="58"/>
        <v>0.072581177</v>
      </c>
      <c r="J65" s="32">
        <f t="shared" si="58"/>
        <v>0.09517269366</v>
      </c>
      <c r="K65" s="32">
        <f t="shared" si="58"/>
        <v>0.1020985582</v>
      </c>
      <c r="L65" s="32">
        <f t="shared" si="58"/>
        <v>0.1129995359</v>
      </c>
      <c r="M65" s="32">
        <f t="shared" si="58"/>
        <v>0.09408287175</v>
      </c>
      <c r="N65" s="32">
        <f t="shared" si="58"/>
        <v>0.07348455218</v>
      </c>
      <c r="O65" s="32">
        <f t="shared" si="58"/>
        <v>0.05401049056</v>
      </c>
      <c r="P65" s="32">
        <f t="shared" si="58"/>
        <v>0.03831952116</v>
      </c>
      <c r="Q65" s="32">
        <f t="shared" si="58"/>
        <v>0.0201</v>
      </c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16"/>
      <c r="B66" s="16"/>
      <c r="C66" s="30"/>
      <c r="D66" s="30"/>
      <c r="E66" s="30"/>
      <c r="F66" s="30"/>
      <c r="G66" s="3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37" t="s">
        <v>39</v>
      </c>
      <c r="C67" s="30">
        <v>-148.847</v>
      </c>
      <c r="D67" s="30">
        <v>-177.128</v>
      </c>
      <c r="E67" s="30">
        <v>-205.13</v>
      </c>
      <c r="F67" s="30">
        <v>-201.266</v>
      </c>
      <c r="G67" s="34">
        <v>-204.042</v>
      </c>
      <c r="H67" s="30">
        <f t="shared" ref="H67:Q67" si="59">-H68*H6</f>
        <v>-219.1123766</v>
      </c>
      <c r="I67" s="30">
        <f t="shared" si="59"/>
        <v>-235.0158108</v>
      </c>
      <c r="J67" s="30">
        <f t="shared" si="59"/>
        <v>-257.3828986</v>
      </c>
      <c r="K67" s="30">
        <f t="shared" si="59"/>
        <v>-283.6613214</v>
      </c>
      <c r="L67" s="30">
        <f t="shared" si="59"/>
        <v>-315.7149191</v>
      </c>
      <c r="M67" s="30">
        <f t="shared" si="59"/>
        <v>-345.4182854</v>
      </c>
      <c r="N67" s="30">
        <f t="shared" si="59"/>
        <v>-370.8011934</v>
      </c>
      <c r="O67" s="30">
        <f t="shared" si="59"/>
        <v>-390.8283477</v>
      </c>
      <c r="P67" s="30">
        <f t="shared" si="59"/>
        <v>-405.8047029</v>
      </c>
      <c r="Q67" s="30">
        <f t="shared" si="59"/>
        <v>-413.9613774</v>
      </c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8"/>
      <c r="B68" s="36" t="s">
        <v>22</v>
      </c>
      <c r="C68" s="32">
        <f t="shared" ref="C68:G68" si="60">-C67/C6</f>
        <v>0.7000018811</v>
      </c>
      <c r="D68" s="32">
        <f t="shared" si="60"/>
        <v>0.6800009214</v>
      </c>
      <c r="E68" s="32">
        <f t="shared" si="60"/>
        <v>0.7500018281</v>
      </c>
      <c r="F68" s="32">
        <f t="shared" si="60"/>
        <v>0.7249981089</v>
      </c>
      <c r="G68" s="33">
        <f t="shared" si="60"/>
        <v>0.6999989708</v>
      </c>
      <c r="H68" s="32">
        <f>Assumptions!I45</f>
        <v>0.71</v>
      </c>
      <c r="I68" s="32">
        <f>Assumptions!J45</f>
        <v>0.71</v>
      </c>
      <c r="J68" s="32">
        <f>Assumptions!K45</f>
        <v>0.71</v>
      </c>
      <c r="K68" s="32">
        <f>Assumptions!L45</f>
        <v>0.71</v>
      </c>
      <c r="L68" s="32">
        <f>Assumptions!M45</f>
        <v>0.71</v>
      </c>
      <c r="M68" s="32">
        <f>Assumptions!N45</f>
        <v>0.71</v>
      </c>
      <c r="N68" s="32">
        <f>Assumptions!O45</f>
        <v>0.71</v>
      </c>
      <c r="O68" s="32">
        <f>Assumptions!P45</f>
        <v>0.71</v>
      </c>
      <c r="P68" s="32">
        <f>Assumptions!Q45</f>
        <v>0.71</v>
      </c>
      <c r="Q68" s="32">
        <f>Assumptions!R45</f>
        <v>0.71</v>
      </c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16"/>
      <c r="B69" s="16"/>
      <c r="C69" s="30"/>
      <c r="D69" s="30"/>
      <c r="E69" s="30"/>
      <c r="F69" s="30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16"/>
      <c r="B70" s="27" t="s">
        <v>40</v>
      </c>
      <c r="C70" s="28">
        <f t="shared" ref="C70:Q70" si="61">+C64+C67</f>
        <v>61.665</v>
      </c>
      <c r="D70" s="28">
        <f t="shared" si="61"/>
        <v>80.749</v>
      </c>
      <c r="E70" s="28">
        <f t="shared" si="61"/>
        <v>64.273</v>
      </c>
      <c r="F70" s="28">
        <f t="shared" si="61"/>
        <v>70.791</v>
      </c>
      <c r="G70" s="29">
        <f t="shared" si="61"/>
        <v>78.702</v>
      </c>
      <c r="H70" s="28">
        <f t="shared" si="61"/>
        <v>80.23798572</v>
      </c>
      <c r="I70" s="28">
        <f t="shared" si="61"/>
        <v>86.06175317</v>
      </c>
      <c r="J70" s="28">
        <f t="shared" si="61"/>
        <v>94.25248204</v>
      </c>
      <c r="K70" s="28">
        <f t="shared" si="61"/>
        <v>103.8755246</v>
      </c>
      <c r="L70" s="28">
        <f t="shared" si="61"/>
        <v>115.6134106</v>
      </c>
      <c r="M70" s="28">
        <f t="shared" si="61"/>
        <v>126.4906523</v>
      </c>
      <c r="N70" s="28">
        <f t="shared" si="61"/>
        <v>135.7857613</v>
      </c>
      <c r="O70" s="28">
        <f t="shared" si="61"/>
        <v>143.1196168</v>
      </c>
      <c r="P70" s="28">
        <f t="shared" si="61"/>
        <v>148.603892</v>
      </c>
      <c r="Q70" s="28">
        <f t="shared" si="61"/>
        <v>151.5908302</v>
      </c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18" t="s">
        <v>41</v>
      </c>
      <c r="C71" s="32">
        <f t="shared" ref="C71:Q71" si="62">+C70/C64</f>
        <v>0.2929286691</v>
      </c>
      <c r="D71" s="32">
        <f t="shared" si="62"/>
        <v>0.313129903</v>
      </c>
      <c r="E71" s="32">
        <f t="shared" si="62"/>
        <v>0.2385756655</v>
      </c>
      <c r="F71" s="32">
        <f t="shared" si="62"/>
        <v>0.2602065008</v>
      </c>
      <c r="G71" s="33">
        <f t="shared" si="62"/>
        <v>0.2783507342</v>
      </c>
      <c r="H71" s="32">
        <f t="shared" si="62"/>
        <v>0.2680403828</v>
      </c>
      <c r="I71" s="32">
        <f t="shared" si="62"/>
        <v>0.2680403828</v>
      </c>
      <c r="J71" s="32">
        <f t="shared" si="62"/>
        <v>0.2680403828</v>
      </c>
      <c r="K71" s="32">
        <f t="shared" si="62"/>
        <v>0.2680403828</v>
      </c>
      <c r="L71" s="32">
        <f t="shared" si="62"/>
        <v>0.2680403828</v>
      </c>
      <c r="M71" s="32">
        <f t="shared" si="62"/>
        <v>0.2680403828</v>
      </c>
      <c r="N71" s="32">
        <f t="shared" si="62"/>
        <v>0.2680403828</v>
      </c>
      <c r="O71" s="32">
        <f t="shared" si="62"/>
        <v>0.2680403828</v>
      </c>
      <c r="P71" s="32">
        <f t="shared" si="62"/>
        <v>0.2680403828</v>
      </c>
      <c r="Q71" s="32">
        <f t="shared" si="62"/>
        <v>0.2680403828</v>
      </c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6"/>
      <c r="C72" s="30"/>
      <c r="D72" s="30"/>
      <c r="E72" s="30"/>
      <c r="F72" s="30"/>
      <c r="G72" s="3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37" t="s">
        <v>42</v>
      </c>
      <c r="C73" s="30">
        <v>-6.286</v>
      </c>
      <c r="D73" s="30">
        <v>-6.935</v>
      </c>
      <c r="E73" s="30">
        <v>-7.555</v>
      </c>
      <c r="F73" s="30">
        <v>-7.191</v>
      </c>
      <c r="G73" s="34">
        <v>-7.575</v>
      </c>
      <c r="H73" s="30">
        <f t="shared" ref="H73:Q73" si="63">-H64*H74</f>
        <v>-8.980510871</v>
      </c>
      <c r="I73" s="30">
        <f t="shared" si="63"/>
        <v>-9.63232692</v>
      </c>
      <c r="J73" s="30">
        <f t="shared" si="63"/>
        <v>-10.54906142</v>
      </c>
      <c r="K73" s="30">
        <f t="shared" si="63"/>
        <v>-11.62610538</v>
      </c>
      <c r="L73" s="30">
        <f t="shared" si="63"/>
        <v>-12.93984989</v>
      </c>
      <c r="M73" s="30">
        <f t="shared" si="63"/>
        <v>-14.15726813</v>
      </c>
      <c r="N73" s="30">
        <f t="shared" si="63"/>
        <v>-15.19760864</v>
      </c>
      <c r="O73" s="30">
        <f t="shared" si="63"/>
        <v>-16.01843894</v>
      </c>
      <c r="P73" s="30">
        <f t="shared" si="63"/>
        <v>-16.63225785</v>
      </c>
      <c r="Q73" s="30">
        <f t="shared" si="63"/>
        <v>-16.96656623</v>
      </c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36" t="s">
        <v>41</v>
      </c>
      <c r="C74" s="32">
        <f t="shared" ref="C74:G74" si="64">-C73/C64</f>
        <v>0.02986053052</v>
      </c>
      <c r="D74" s="32">
        <f t="shared" si="64"/>
        <v>0.02689266588</v>
      </c>
      <c r="E74" s="32">
        <f t="shared" si="64"/>
        <v>0.02804348875</v>
      </c>
      <c r="F74" s="32">
        <f t="shared" si="64"/>
        <v>0.02643196095</v>
      </c>
      <c r="G74" s="33">
        <f t="shared" si="64"/>
        <v>0.02679101944</v>
      </c>
      <c r="H74" s="32">
        <f>Assumptions!I53</f>
        <v>0.03</v>
      </c>
      <c r="I74" s="32">
        <f>Assumptions!J53</f>
        <v>0.03</v>
      </c>
      <c r="J74" s="32">
        <f>Assumptions!K53</f>
        <v>0.03</v>
      </c>
      <c r="K74" s="32">
        <f>Assumptions!L53</f>
        <v>0.03</v>
      </c>
      <c r="L74" s="32">
        <f>Assumptions!M53</f>
        <v>0.03</v>
      </c>
      <c r="M74" s="32">
        <f>Assumptions!N53</f>
        <v>0.03</v>
      </c>
      <c r="N74" s="32">
        <f>Assumptions!O53</f>
        <v>0.03</v>
      </c>
      <c r="O74" s="32">
        <f>Assumptions!P53</f>
        <v>0.03</v>
      </c>
      <c r="P74" s="32">
        <f>Assumptions!Q53</f>
        <v>0.03</v>
      </c>
      <c r="Q74" s="32">
        <f>Assumptions!R53</f>
        <v>0.03</v>
      </c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37"/>
      <c r="C75" s="30"/>
      <c r="D75" s="30"/>
      <c r="E75" s="30"/>
      <c r="F75" s="30"/>
      <c r="G75" s="3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37" t="s">
        <v>43</v>
      </c>
      <c r="C76" s="30">
        <v>-24.991</v>
      </c>
      <c r="D76" s="30">
        <v>-34.364</v>
      </c>
      <c r="E76" s="30">
        <v>-35.008</v>
      </c>
      <c r="F76" s="30">
        <v>-33.892</v>
      </c>
      <c r="G76" s="34">
        <v>-33.418</v>
      </c>
      <c r="H76" s="30">
        <f t="shared" ref="H76:Q76" si="65">-H77*H64</f>
        <v>-35.92204348</v>
      </c>
      <c r="I76" s="30">
        <f t="shared" si="65"/>
        <v>-38.52930768</v>
      </c>
      <c r="J76" s="30">
        <f t="shared" si="65"/>
        <v>-42.19624567</v>
      </c>
      <c r="K76" s="30">
        <f t="shared" si="65"/>
        <v>-46.50442152</v>
      </c>
      <c r="L76" s="30">
        <f t="shared" si="65"/>
        <v>-51.75939957</v>
      </c>
      <c r="M76" s="30">
        <f t="shared" si="65"/>
        <v>-56.62907252</v>
      </c>
      <c r="N76" s="30">
        <f t="shared" si="65"/>
        <v>-60.79043456</v>
      </c>
      <c r="O76" s="30">
        <f t="shared" si="65"/>
        <v>-64.07375575</v>
      </c>
      <c r="P76" s="30">
        <f t="shared" si="65"/>
        <v>-66.52903139</v>
      </c>
      <c r="Q76" s="30">
        <f t="shared" si="65"/>
        <v>-67.86626492</v>
      </c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6"/>
      <c r="B77" s="36" t="s">
        <v>41</v>
      </c>
      <c r="C77" s="32">
        <f t="shared" ref="C77:G77" si="66">-C76/C64</f>
        <v>0.1187153226</v>
      </c>
      <c r="D77" s="32">
        <f t="shared" si="66"/>
        <v>0.1332573281</v>
      </c>
      <c r="E77" s="32">
        <f t="shared" si="66"/>
        <v>0.1299465856</v>
      </c>
      <c r="F77" s="32">
        <f t="shared" si="66"/>
        <v>0.124576835</v>
      </c>
      <c r="G77" s="33">
        <f t="shared" si="66"/>
        <v>0.1181917211</v>
      </c>
      <c r="H77" s="32">
        <f>Assumptions!I62</f>
        <v>0.12</v>
      </c>
      <c r="I77" s="32">
        <f>Assumptions!J62</f>
        <v>0.12</v>
      </c>
      <c r="J77" s="32">
        <f>Assumptions!K62</f>
        <v>0.12</v>
      </c>
      <c r="K77" s="32">
        <f>Assumptions!L62</f>
        <v>0.12</v>
      </c>
      <c r="L77" s="32">
        <f>Assumptions!M62</f>
        <v>0.12</v>
      </c>
      <c r="M77" s="32">
        <f>Assumptions!N62</f>
        <v>0.12</v>
      </c>
      <c r="N77" s="32">
        <f>Assumptions!O62</f>
        <v>0.12</v>
      </c>
      <c r="O77" s="32">
        <f>Assumptions!P62</f>
        <v>0.12</v>
      </c>
      <c r="P77" s="32">
        <f>Assumptions!Q62</f>
        <v>0.12</v>
      </c>
      <c r="Q77" s="32">
        <f>Assumptions!R62</f>
        <v>0.12</v>
      </c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16"/>
      <c r="B78" s="16"/>
      <c r="C78" s="30"/>
      <c r="D78" s="30"/>
      <c r="E78" s="30"/>
      <c r="F78" s="30"/>
      <c r="G78" s="3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27" t="s">
        <v>44</v>
      </c>
      <c r="C79" s="28">
        <f t="shared" ref="C79:Q79" si="67">+C70+C73+C76</f>
        <v>30.388</v>
      </c>
      <c r="D79" s="28">
        <f t="shared" si="67"/>
        <v>39.45</v>
      </c>
      <c r="E79" s="28">
        <f t="shared" si="67"/>
        <v>21.71</v>
      </c>
      <c r="F79" s="28">
        <f t="shared" si="67"/>
        <v>29.708</v>
      </c>
      <c r="G79" s="29">
        <f t="shared" si="67"/>
        <v>37.709</v>
      </c>
      <c r="H79" s="28">
        <f t="shared" si="67"/>
        <v>35.33543137</v>
      </c>
      <c r="I79" s="28">
        <f t="shared" si="67"/>
        <v>37.90011857</v>
      </c>
      <c r="J79" s="28">
        <f t="shared" si="67"/>
        <v>41.50717494</v>
      </c>
      <c r="K79" s="28">
        <f t="shared" si="67"/>
        <v>45.74499766</v>
      </c>
      <c r="L79" s="28">
        <f t="shared" si="67"/>
        <v>50.91416117</v>
      </c>
      <c r="M79" s="28">
        <f t="shared" si="67"/>
        <v>55.70431166</v>
      </c>
      <c r="N79" s="28">
        <f t="shared" si="67"/>
        <v>59.79771806</v>
      </c>
      <c r="O79" s="28">
        <f t="shared" si="67"/>
        <v>63.02742214</v>
      </c>
      <c r="P79" s="28">
        <f t="shared" si="67"/>
        <v>65.44260278</v>
      </c>
      <c r="Q79" s="28">
        <f t="shared" si="67"/>
        <v>66.7579991</v>
      </c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8"/>
      <c r="B80" s="18" t="s">
        <v>45</v>
      </c>
      <c r="C80" s="32">
        <f t="shared" ref="C80:Q80" si="68">+C79/C64</f>
        <v>0.144352816</v>
      </c>
      <c r="D80" s="32">
        <f t="shared" si="68"/>
        <v>0.152979909</v>
      </c>
      <c r="E80" s="32">
        <f t="shared" si="68"/>
        <v>0.0805855911</v>
      </c>
      <c r="F80" s="32">
        <f t="shared" si="68"/>
        <v>0.1091977049</v>
      </c>
      <c r="G80" s="33">
        <f t="shared" si="68"/>
        <v>0.1333679937</v>
      </c>
      <c r="H80" s="32">
        <f t="shared" si="68"/>
        <v>0.1180403828</v>
      </c>
      <c r="I80" s="32">
        <f t="shared" si="68"/>
        <v>0.1180403828</v>
      </c>
      <c r="J80" s="32">
        <f t="shared" si="68"/>
        <v>0.1180403828</v>
      </c>
      <c r="K80" s="32">
        <f t="shared" si="68"/>
        <v>0.1180403828</v>
      </c>
      <c r="L80" s="32">
        <f t="shared" si="68"/>
        <v>0.1180403828</v>
      </c>
      <c r="M80" s="32">
        <f t="shared" si="68"/>
        <v>0.1180403828</v>
      </c>
      <c r="N80" s="32">
        <f t="shared" si="68"/>
        <v>0.1180403828</v>
      </c>
      <c r="O80" s="32">
        <f t="shared" si="68"/>
        <v>0.1180403828</v>
      </c>
      <c r="P80" s="32">
        <f t="shared" si="68"/>
        <v>0.1180403828</v>
      </c>
      <c r="Q80" s="32">
        <f t="shared" si="68"/>
        <v>0.1180403828</v>
      </c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16"/>
      <c r="B81" s="16"/>
      <c r="C81" s="30"/>
      <c r="D81" s="30"/>
      <c r="E81" s="30"/>
      <c r="F81" s="30"/>
      <c r="G81" s="3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16"/>
      <c r="B82" s="37" t="s">
        <v>46</v>
      </c>
      <c r="C82" s="30">
        <f>'PPE Schedule'!C8</f>
        <v>-2.605</v>
      </c>
      <c r="D82" s="30">
        <f>'PPE Schedule'!D8</f>
        <v>-2.605</v>
      </c>
      <c r="E82" s="30">
        <f>'PPE Schedule'!E8</f>
        <v>-1.367</v>
      </c>
      <c r="F82" s="30">
        <f>'PPE Schedule'!F8</f>
        <v>-1.388</v>
      </c>
      <c r="G82" s="34">
        <f>'PPE Schedule'!G8</f>
        <v>-1.457</v>
      </c>
      <c r="H82" s="30">
        <f t="shared" ref="H82:Q82" si="69">H86*H84</f>
        <v>-4.288817787</v>
      </c>
      <c r="I82" s="30">
        <f t="shared" si="69"/>
        <v>-4.787777482</v>
      </c>
      <c r="J82" s="30">
        <f t="shared" si="69"/>
        <v>-5.448976688</v>
      </c>
      <c r="K82" s="30">
        <f t="shared" si="69"/>
        <v>-6.231827554</v>
      </c>
      <c r="L82" s="30">
        <f t="shared" si="69"/>
        <v>-7.188135831</v>
      </c>
      <c r="M82" s="30">
        <f t="shared" si="69"/>
        <v>-4.070125309</v>
      </c>
      <c r="N82" s="30">
        <f t="shared" si="69"/>
        <v>-4.517268588</v>
      </c>
      <c r="O82" s="30">
        <f t="shared" si="69"/>
        <v>-4.917296782</v>
      </c>
      <c r="P82" s="30">
        <f t="shared" si="69"/>
        <v>-5.267753238</v>
      </c>
      <c r="Q82" s="30">
        <f t="shared" si="69"/>
        <v>-5.538919839</v>
      </c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36" t="s">
        <v>47</v>
      </c>
      <c r="C83" s="32">
        <f t="shared" ref="C83:Q83" si="70">-C82/C6</f>
        <v>0.01225086767</v>
      </c>
      <c r="D83" s="32">
        <f t="shared" si="70"/>
        <v>0.01000069103</v>
      </c>
      <c r="E83" s="32">
        <f t="shared" si="70"/>
        <v>0.0049980622</v>
      </c>
      <c r="F83" s="32">
        <f t="shared" si="70"/>
        <v>0.004999837902</v>
      </c>
      <c r="G83" s="33">
        <f t="shared" si="70"/>
        <v>0.004998473356</v>
      </c>
      <c r="H83" s="32">
        <f t="shared" si="70"/>
        <v>0.01389725526</v>
      </c>
      <c r="I83" s="32">
        <f t="shared" si="70"/>
        <v>0.0144642269</v>
      </c>
      <c r="J83" s="32">
        <f t="shared" si="70"/>
        <v>0.01503119854</v>
      </c>
      <c r="K83" s="32">
        <f t="shared" si="70"/>
        <v>0.01559817017</v>
      </c>
      <c r="L83" s="32">
        <f t="shared" si="70"/>
        <v>0.01616514181</v>
      </c>
      <c r="M83" s="32">
        <f t="shared" si="70"/>
        <v>0.008366056725</v>
      </c>
      <c r="N83" s="32">
        <f t="shared" si="70"/>
        <v>0.008649542543</v>
      </c>
      <c r="O83" s="32">
        <f t="shared" si="70"/>
        <v>0.008933028362</v>
      </c>
      <c r="P83" s="32">
        <f t="shared" si="70"/>
        <v>0.009216514181</v>
      </c>
      <c r="Q83" s="32">
        <f t="shared" si="70"/>
        <v>0.0095</v>
      </c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8"/>
      <c r="B84" s="36" t="s">
        <v>48</v>
      </c>
      <c r="C84" s="32">
        <f t="shared" ref="C84:G84" si="71">+C82/C86</f>
        <v>0.8166144201</v>
      </c>
      <c r="D84" s="32">
        <f t="shared" si="71"/>
        <v>0.6667519836</v>
      </c>
      <c r="E84" s="32">
        <f t="shared" si="71"/>
        <v>0.4998171846</v>
      </c>
      <c r="F84" s="32">
        <f t="shared" si="71"/>
        <v>0.5</v>
      </c>
      <c r="G84" s="33">
        <f t="shared" si="71"/>
        <v>0.6665141812</v>
      </c>
      <c r="H84" s="38">
        <f t="shared" ref="H84:P84" si="72">+G84+(($Q$84-$G$84)/10)</f>
        <v>0.694862763</v>
      </c>
      <c r="I84" s="38">
        <f t="shared" si="72"/>
        <v>0.7232113449</v>
      </c>
      <c r="J84" s="38">
        <f t="shared" si="72"/>
        <v>0.7515599268</v>
      </c>
      <c r="K84" s="38">
        <f t="shared" si="72"/>
        <v>0.7799085087</v>
      </c>
      <c r="L84" s="38">
        <f t="shared" si="72"/>
        <v>0.8082570906</v>
      </c>
      <c r="M84" s="38">
        <f t="shared" si="72"/>
        <v>0.8366056725</v>
      </c>
      <c r="N84" s="38">
        <f t="shared" si="72"/>
        <v>0.8649542543</v>
      </c>
      <c r="O84" s="38">
        <f t="shared" si="72"/>
        <v>0.8933028362</v>
      </c>
      <c r="P84" s="38">
        <f t="shared" si="72"/>
        <v>0.9216514181</v>
      </c>
      <c r="Q84" s="38">
        <v>0.95</v>
      </c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16"/>
      <c r="B85" s="37"/>
      <c r="C85" s="30"/>
      <c r="D85" s="30"/>
      <c r="E85" s="30"/>
      <c r="F85" s="30"/>
      <c r="G85" s="3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16"/>
      <c r="B86" s="37" t="s">
        <v>49</v>
      </c>
      <c r="C86" s="30">
        <v>-3.19</v>
      </c>
      <c r="D86" s="30">
        <v>-3.907</v>
      </c>
      <c r="E86" s="30">
        <v>-2.735</v>
      </c>
      <c r="F86" s="30">
        <v>-2.776</v>
      </c>
      <c r="G86" s="34">
        <v>-2.186</v>
      </c>
      <c r="H86" s="30">
        <f t="shared" ref="H86:Q86" si="73">-H87*H6</f>
        <v>-6.172179623</v>
      </c>
      <c r="I86" s="30">
        <f t="shared" si="73"/>
        <v>-6.620163685</v>
      </c>
      <c r="J86" s="30">
        <f t="shared" si="73"/>
        <v>-7.250222495</v>
      </c>
      <c r="K86" s="30">
        <f t="shared" si="73"/>
        <v>-7.990459759</v>
      </c>
      <c r="L86" s="30">
        <f t="shared" si="73"/>
        <v>-8.893378004</v>
      </c>
      <c r="M86" s="30">
        <f t="shared" si="73"/>
        <v>-4.865046273</v>
      </c>
      <c r="N86" s="30">
        <f t="shared" si="73"/>
        <v>-5.22255202</v>
      </c>
      <c r="O86" s="30">
        <f t="shared" si="73"/>
        <v>-5.504624616</v>
      </c>
      <c r="P86" s="30">
        <f t="shared" si="73"/>
        <v>-5.715559196</v>
      </c>
      <c r="Q86" s="30">
        <f t="shared" si="73"/>
        <v>-5.830441935</v>
      </c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8"/>
      <c r="B87" s="36" t="s">
        <v>22</v>
      </c>
      <c r="C87" s="32">
        <f t="shared" ref="C87:G87" si="74">-C86/C6</f>
        <v>0.01500202222</v>
      </c>
      <c r="D87" s="32">
        <f t="shared" si="74"/>
        <v>0.01499911702</v>
      </c>
      <c r="E87" s="32">
        <f t="shared" si="74"/>
        <v>0.009999780626</v>
      </c>
      <c r="F87" s="32">
        <f t="shared" si="74"/>
        <v>0.009999675803</v>
      </c>
      <c r="G87" s="33">
        <f t="shared" si="74"/>
        <v>0.007499425364</v>
      </c>
      <c r="H87" s="32">
        <f>Assumptions!I70</f>
        <v>0.02</v>
      </c>
      <c r="I87" s="32">
        <f>Assumptions!J70</f>
        <v>0.02</v>
      </c>
      <c r="J87" s="32">
        <f>Assumptions!K70</f>
        <v>0.02</v>
      </c>
      <c r="K87" s="32">
        <f>Assumptions!L70</f>
        <v>0.02</v>
      </c>
      <c r="L87" s="32">
        <f>Assumptions!M70</f>
        <v>0.02</v>
      </c>
      <c r="M87" s="32">
        <f>Assumptions!N70</f>
        <v>0.01</v>
      </c>
      <c r="N87" s="32">
        <f>Assumptions!O70</f>
        <v>0.01</v>
      </c>
      <c r="O87" s="32">
        <f>Assumptions!P70</f>
        <v>0.01</v>
      </c>
      <c r="P87" s="32">
        <f>Assumptions!Q70</f>
        <v>0.01</v>
      </c>
      <c r="Q87" s="32">
        <f>Assumptions!R70</f>
        <v>0.01</v>
      </c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16"/>
      <c r="B88" s="37"/>
      <c r="C88" s="30"/>
      <c r="D88" s="30"/>
      <c r="E88" s="30"/>
      <c r="F88" s="30"/>
      <c r="G88" s="3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16"/>
      <c r="B89" s="35" t="s">
        <v>50</v>
      </c>
      <c r="C89" s="28">
        <f t="shared" ref="C89:Q89" si="75">+C79-C82</f>
        <v>32.993</v>
      </c>
      <c r="D89" s="28">
        <f t="shared" si="75"/>
        <v>42.055</v>
      </c>
      <c r="E89" s="28">
        <f t="shared" si="75"/>
        <v>23.077</v>
      </c>
      <c r="F89" s="28">
        <f t="shared" si="75"/>
        <v>31.096</v>
      </c>
      <c r="G89" s="29">
        <f t="shared" si="75"/>
        <v>39.166</v>
      </c>
      <c r="H89" s="28">
        <f t="shared" si="75"/>
        <v>39.62424916</v>
      </c>
      <c r="I89" s="28">
        <f t="shared" si="75"/>
        <v>42.68789605</v>
      </c>
      <c r="J89" s="28">
        <f t="shared" si="75"/>
        <v>46.95615163</v>
      </c>
      <c r="K89" s="28">
        <f t="shared" si="75"/>
        <v>51.97682521</v>
      </c>
      <c r="L89" s="28">
        <f t="shared" si="75"/>
        <v>58.102297</v>
      </c>
      <c r="M89" s="28">
        <f t="shared" si="75"/>
        <v>59.77443697</v>
      </c>
      <c r="N89" s="28">
        <f t="shared" si="75"/>
        <v>64.31498665</v>
      </c>
      <c r="O89" s="28">
        <f t="shared" si="75"/>
        <v>67.94471893</v>
      </c>
      <c r="P89" s="28">
        <f t="shared" si="75"/>
        <v>70.71035602</v>
      </c>
      <c r="Q89" s="28">
        <f t="shared" si="75"/>
        <v>72.29691894</v>
      </c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36" t="s">
        <v>45</v>
      </c>
      <c r="C90" s="32">
        <f t="shared" ref="C90:Q90" si="76">+C89/C64</f>
        <v>0.1567274075</v>
      </c>
      <c r="D90" s="32">
        <f t="shared" si="76"/>
        <v>0.1630816242</v>
      </c>
      <c r="E90" s="32">
        <f t="shared" si="76"/>
        <v>0.08565977365</v>
      </c>
      <c r="F90" s="32">
        <f t="shared" si="76"/>
        <v>0.1142995769</v>
      </c>
      <c r="G90" s="33">
        <f t="shared" si="76"/>
        <v>0.138521065</v>
      </c>
      <c r="H90" s="32">
        <f t="shared" si="76"/>
        <v>0.1323674668</v>
      </c>
      <c r="I90" s="32">
        <f t="shared" si="76"/>
        <v>0.1329519743</v>
      </c>
      <c r="J90" s="32">
        <f t="shared" si="76"/>
        <v>0.1335364819</v>
      </c>
      <c r="K90" s="32">
        <f t="shared" si="76"/>
        <v>0.1341209894</v>
      </c>
      <c r="L90" s="32">
        <f t="shared" si="76"/>
        <v>0.1347054969</v>
      </c>
      <c r="M90" s="32">
        <f t="shared" si="76"/>
        <v>0.1266651936</v>
      </c>
      <c r="N90" s="32">
        <f t="shared" si="76"/>
        <v>0.1269574474</v>
      </c>
      <c r="O90" s="32">
        <f t="shared" si="76"/>
        <v>0.1272497012</v>
      </c>
      <c r="P90" s="32">
        <f t="shared" si="76"/>
        <v>0.1275419549</v>
      </c>
      <c r="Q90" s="32">
        <f t="shared" si="76"/>
        <v>0.1278342087</v>
      </c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16"/>
      <c r="C91" s="30"/>
      <c r="D91" s="30"/>
      <c r="E91" s="30"/>
      <c r="F91" s="30"/>
      <c r="G91" s="3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27" t="s">
        <v>51</v>
      </c>
      <c r="C92" s="30">
        <f>-'Debt Schedule'!C12</f>
        <v>-3.3</v>
      </c>
      <c r="D92" s="30">
        <f>-'Debt Schedule'!D12</f>
        <v>-3</v>
      </c>
      <c r="E92" s="30">
        <f>-'Debt Schedule'!E12</f>
        <v>-2.7</v>
      </c>
      <c r="F92" s="30">
        <f>-'Debt Schedule'!F12</f>
        <v>-2.4</v>
      </c>
      <c r="G92" s="34">
        <f>-'Debt Schedule'!G12</f>
        <v>-2.1</v>
      </c>
      <c r="H92" s="30">
        <f>'LBO Modelling'!C56</f>
        <v>-12.92478</v>
      </c>
      <c r="I92" s="30">
        <f>'LBO Modelling'!D56</f>
        <v>-12.92478</v>
      </c>
      <c r="J92" s="30">
        <f>'LBO Modelling'!E56</f>
        <v>-12.92478</v>
      </c>
      <c r="K92" s="30">
        <f>'LBO Modelling'!F56</f>
        <v>-12.92478</v>
      </c>
      <c r="L92" s="30">
        <f>'LBO Modelling'!G56</f>
        <v>-12.92478</v>
      </c>
      <c r="M92" s="30">
        <f>'LBO Modelling'!H56</f>
        <v>-12.92478</v>
      </c>
      <c r="N92" s="30">
        <f>'LBO Modelling'!I56</f>
        <v>-12.92478</v>
      </c>
      <c r="O92" s="30">
        <f>'LBO Modelling'!J56</f>
        <v>0</v>
      </c>
      <c r="P92" s="30">
        <f>'LBO Modelling'!K56</f>
        <v>0</v>
      </c>
      <c r="Q92" s="30">
        <f>'LBO Modelling'!L56</f>
        <v>0</v>
      </c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16"/>
      <c r="C93" s="30"/>
      <c r="D93" s="30"/>
      <c r="E93" s="30"/>
      <c r="F93" s="30"/>
      <c r="G93" s="3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27" t="s">
        <v>52</v>
      </c>
      <c r="C94" s="28">
        <f t="shared" ref="C94:Q94" si="77">+C79+C92</f>
        <v>27.088</v>
      </c>
      <c r="D94" s="28">
        <f t="shared" si="77"/>
        <v>36.45</v>
      </c>
      <c r="E94" s="28">
        <f t="shared" si="77"/>
        <v>19.01</v>
      </c>
      <c r="F94" s="28">
        <f t="shared" si="77"/>
        <v>27.308</v>
      </c>
      <c r="G94" s="29">
        <f t="shared" si="77"/>
        <v>35.609</v>
      </c>
      <c r="H94" s="28">
        <f t="shared" si="77"/>
        <v>22.41065137</v>
      </c>
      <c r="I94" s="28">
        <f t="shared" si="77"/>
        <v>24.97533857</v>
      </c>
      <c r="J94" s="28">
        <f t="shared" si="77"/>
        <v>28.58239494</v>
      </c>
      <c r="K94" s="28">
        <f t="shared" si="77"/>
        <v>32.82021766</v>
      </c>
      <c r="L94" s="28">
        <f t="shared" si="77"/>
        <v>37.98938117</v>
      </c>
      <c r="M94" s="28">
        <f t="shared" si="77"/>
        <v>42.77953166</v>
      </c>
      <c r="N94" s="28">
        <f t="shared" si="77"/>
        <v>46.87293806</v>
      </c>
      <c r="O94" s="28">
        <f t="shared" si="77"/>
        <v>63.02742214</v>
      </c>
      <c r="P94" s="28">
        <f t="shared" si="77"/>
        <v>65.44260278</v>
      </c>
      <c r="Q94" s="28">
        <f t="shared" si="77"/>
        <v>66.7579991</v>
      </c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18" t="s">
        <v>45</v>
      </c>
      <c r="C95" s="32">
        <f t="shared" ref="C95:Q95" si="78">+C94/C64</f>
        <v>0.12867675</v>
      </c>
      <c r="D95" s="32">
        <f t="shared" si="78"/>
        <v>0.1413464559</v>
      </c>
      <c r="E95" s="32">
        <f t="shared" si="78"/>
        <v>0.07056343099</v>
      </c>
      <c r="F95" s="32">
        <f t="shared" si="78"/>
        <v>0.1003760241</v>
      </c>
      <c r="G95" s="33">
        <f t="shared" si="78"/>
        <v>0.1259407804</v>
      </c>
      <c r="H95" s="32">
        <f t="shared" si="78"/>
        <v>0.07486428676</v>
      </c>
      <c r="I95" s="32">
        <f t="shared" si="78"/>
        <v>0.07778599743</v>
      </c>
      <c r="J95" s="32">
        <f t="shared" si="78"/>
        <v>0.08128418389</v>
      </c>
      <c r="K95" s="32">
        <f t="shared" si="78"/>
        <v>0.08468928309</v>
      </c>
      <c r="L95" s="32">
        <f t="shared" si="78"/>
        <v>0.08807532115</v>
      </c>
      <c r="M95" s="32">
        <f t="shared" si="78"/>
        <v>0.09065209036</v>
      </c>
      <c r="N95" s="32">
        <f t="shared" si="78"/>
        <v>0.09252693467</v>
      </c>
      <c r="O95" s="32">
        <f t="shared" si="78"/>
        <v>0.1180403828</v>
      </c>
      <c r="P95" s="32">
        <f t="shared" si="78"/>
        <v>0.1180403828</v>
      </c>
      <c r="Q95" s="32">
        <f t="shared" si="78"/>
        <v>0.1180403828</v>
      </c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18"/>
      <c r="C96" s="30"/>
      <c r="D96" s="30"/>
      <c r="E96" s="30"/>
      <c r="F96" s="30"/>
      <c r="G96" s="3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37" t="s">
        <v>53</v>
      </c>
      <c r="C97" s="30">
        <v>0.0</v>
      </c>
      <c r="D97" s="30">
        <v>0.0</v>
      </c>
      <c r="E97" s="30">
        <v>0.0</v>
      </c>
      <c r="F97" s="30">
        <v>0.0</v>
      </c>
      <c r="G97" s="34">
        <v>0.0</v>
      </c>
      <c r="H97" s="30">
        <v>0.0</v>
      </c>
      <c r="I97" s="30">
        <v>0.0</v>
      </c>
      <c r="J97" s="30">
        <v>0.0</v>
      </c>
      <c r="K97" s="30">
        <v>0.0</v>
      </c>
      <c r="L97" s="30">
        <v>0.0</v>
      </c>
      <c r="M97" s="30">
        <v>0.0</v>
      </c>
      <c r="N97" s="30">
        <v>0.0</v>
      </c>
      <c r="O97" s="30">
        <v>0.0</v>
      </c>
      <c r="P97" s="30">
        <v>0.0</v>
      </c>
      <c r="Q97" s="30">
        <v>0.0</v>
      </c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54" t="s">
        <v>54</v>
      </c>
      <c r="C99" s="55">
        <f t="shared" ref="C99:Q99" si="79">+C94+C97</f>
        <v>27.088</v>
      </c>
      <c r="D99" s="55">
        <f t="shared" si="79"/>
        <v>36.45</v>
      </c>
      <c r="E99" s="55">
        <f t="shared" si="79"/>
        <v>19.01</v>
      </c>
      <c r="F99" s="55">
        <f t="shared" si="79"/>
        <v>27.308</v>
      </c>
      <c r="G99" s="56">
        <f t="shared" si="79"/>
        <v>35.609</v>
      </c>
      <c r="H99" s="55">
        <f t="shared" si="79"/>
        <v>22.41065137</v>
      </c>
      <c r="I99" s="55">
        <f t="shared" si="79"/>
        <v>24.97533857</v>
      </c>
      <c r="J99" s="55">
        <f t="shared" si="79"/>
        <v>28.58239494</v>
      </c>
      <c r="K99" s="55">
        <f t="shared" si="79"/>
        <v>32.82021766</v>
      </c>
      <c r="L99" s="55">
        <f t="shared" si="79"/>
        <v>37.98938117</v>
      </c>
      <c r="M99" s="55">
        <f t="shared" si="79"/>
        <v>42.77953166</v>
      </c>
      <c r="N99" s="55">
        <f t="shared" si="79"/>
        <v>46.87293806</v>
      </c>
      <c r="O99" s="55">
        <f t="shared" si="79"/>
        <v>63.02742214</v>
      </c>
      <c r="P99" s="55">
        <f t="shared" si="79"/>
        <v>65.44260278</v>
      </c>
      <c r="Q99" s="55">
        <f t="shared" si="79"/>
        <v>66.7579991</v>
      </c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18" t="s">
        <v>45</v>
      </c>
      <c r="C100" s="32">
        <f t="shared" ref="C100:Q100" si="80">+C99/C64</f>
        <v>0.12867675</v>
      </c>
      <c r="D100" s="32">
        <f t="shared" si="80"/>
        <v>0.1413464559</v>
      </c>
      <c r="E100" s="32">
        <f t="shared" si="80"/>
        <v>0.07056343099</v>
      </c>
      <c r="F100" s="32">
        <f t="shared" si="80"/>
        <v>0.1003760241</v>
      </c>
      <c r="G100" s="33">
        <f t="shared" si="80"/>
        <v>0.1259407804</v>
      </c>
      <c r="H100" s="32">
        <f t="shared" si="80"/>
        <v>0.07486428676</v>
      </c>
      <c r="I100" s="32">
        <f t="shared" si="80"/>
        <v>0.07778599743</v>
      </c>
      <c r="J100" s="32">
        <f t="shared" si="80"/>
        <v>0.08128418389</v>
      </c>
      <c r="K100" s="32">
        <f t="shared" si="80"/>
        <v>0.08468928309</v>
      </c>
      <c r="L100" s="32">
        <f t="shared" si="80"/>
        <v>0.08807532115</v>
      </c>
      <c r="M100" s="32">
        <f t="shared" si="80"/>
        <v>0.09065209036</v>
      </c>
      <c r="N100" s="32">
        <f t="shared" si="80"/>
        <v>0.09252693467</v>
      </c>
      <c r="O100" s="32">
        <f t="shared" si="80"/>
        <v>0.1180403828</v>
      </c>
      <c r="P100" s="32">
        <f t="shared" si="80"/>
        <v>0.1180403828</v>
      </c>
      <c r="Q100" s="32">
        <f t="shared" si="80"/>
        <v>0.1180403828</v>
      </c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 t="str">
        <f t="shared" ref="B103:G103" si="81">+B89</f>
        <v>EBITDA</v>
      </c>
      <c r="C103" s="30">
        <f t="shared" si="81"/>
        <v>32.993</v>
      </c>
      <c r="D103" s="30">
        <f t="shared" si="81"/>
        <v>42.055</v>
      </c>
      <c r="E103" s="30">
        <f t="shared" si="81"/>
        <v>23.077</v>
      </c>
      <c r="F103" s="30">
        <f t="shared" si="81"/>
        <v>31.096</v>
      </c>
      <c r="G103" s="30">
        <f t="shared" si="81"/>
        <v>39.166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 t="s">
        <v>55</v>
      </c>
      <c r="C104" s="30" t="str">
        <f>+'Cash Flow Statement'!C19</f>
        <v/>
      </c>
      <c r="D104" s="30">
        <f>+'Cash Flow Statement'!D19</f>
        <v>-3.907</v>
      </c>
      <c r="E104" s="30">
        <f>+'Cash Flow Statement'!E19</f>
        <v>-2.735</v>
      </c>
      <c r="F104" s="30">
        <f>+'Cash Flow Statement'!F19</f>
        <v>-2.776</v>
      </c>
      <c r="G104" s="30">
        <f>+'Cash Flow Statement'!G19</f>
        <v>-2.186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 t="s">
        <v>56</v>
      </c>
      <c r="C105" s="30">
        <f t="shared" ref="C105:G105" si="82">SUM(C103:C104)</f>
        <v>32.993</v>
      </c>
      <c r="D105" s="30">
        <f t="shared" si="82"/>
        <v>38.148</v>
      </c>
      <c r="E105" s="30">
        <f t="shared" si="82"/>
        <v>20.342</v>
      </c>
      <c r="F105" s="30">
        <f t="shared" si="82"/>
        <v>28.32</v>
      </c>
      <c r="G105" s="30">
        <f t="shared" si="82"/>
        <v>36.98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 t="s">
        <v>57</v>
      </c>
      <c r="C106" s="43">
        <f t="shared" ref="C106:G106" si="83">C105/C103</f>
        <v>1</v>
      </c>
      <c r="D106" s="43">
        <f t="shared" si="83"/>
        <v>0.9070978481</v>
      </c>
      <c r="E106" s="43">
        <f t="shared" si="83"/>
        <v>0.8814837284</v>
      </c>
      <c r="F106" s="43">
        <f t="shared" si="83"/>
        <v>0.9107280679</v>
      </c>
      <c r="G106" s="43">
        <f t="shared" si="83"/>
        <v>0.944186284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 t="s">
        <v>58</v>
      </c>
      <c r="C107" s="57">
        <f t="shared" ref="C107:G107" si="84">-C104/C64</f>
        <v>0</v>
      </c>
      <c r="D107" s="57">
        <f t="shared" si="84"/>
        <v>0.01515063383</v>
      </c>
      <c r="E107" s="57">
        <f t="shared" si="84"/>
        <v>0.010152077</v>
      </c>
      <c r="F107" s="57">
        <f t="shared" si="84"/>
        <v>0.01020374407</v>
      </c>
      <c r="G107" s="57">
        <f t="shared" si="84"/>
        <v>0.007731375378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 t="s">
        <v>59</v>
      </c>
      <c r="C109" s="43">
        <f>C99/'Balance Sheet'!C19</f>
        <v>0.6518432958</v>
      </c>
      <c r="D109" s="43">
        <f>D99/'Balance Sheet'!D19</f>
        <v>0.4672717483</v>
      </c>
      <c r="E109" s="43">
        <f>E99/'Balance Sheet'!E19</f>
        <v>0.1959470603</v>
      </c>
      <c r="F109" s="43">
        <f>F99/'Balance Sheet'!F19</f>
        <v>0.2196518774</v>
      </c>
      <c r="G109" s="43">
        <f>G99/'Balance Sheet'!G19</f>
        <v>0.2226494845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 t="s">
        <v>60</v>
      </c>
      <c r="C110" s="43">
        <f>C99/'Balance Sheet'!C15</f>
        <v>0.2020226127</v>
      </c>
      <c r="D110" s="43">
        <f>D99/'Balance Sheet'!D15</f>
        <v>0.2081643842</v>
      </c>
      <c r="E110" s="43">
        <f>E99/'Balance Sheet'!E15</f>
        <v>0.092554274</v>
      </c>
      <c r="F110" s="43">
        <f>F99/'Balance Sheet'!F15</f>
        <v>0.1193917613</v>
      </c>
      <c r="G110" s="43">
        <f>G99/'Balance Sheet'!G15</f>
        <v>0.1354959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4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6.0"/>
    <col customWidth="1" min="3" max="5" width="8.25"/>
    <col customWidth="1" min="6" max="7" width="8.13"/>
    <col customWidth="1" min="8" max="8" width="9.0"/>
    <col customWidth="1" min="9" max="18" width="8.13"/>
    <col customWidth="1" min="19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7" t="s">
        <v>61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58" t="s">
        <v>18</v>
      </c>
      <c r="C4" s="20">
        <f>'Income Statement'!C4</f>
        <v>2007</v>
      </c>
      <c r="D4" s="20">
        <f>'Income Statement'!D4</f>
        <v>2008</v>
      </c>
      <c r="E4" s="20">
        <f>'Income Statement'!E4</f>
        <v>2009</v>
      </c>
      <c r="F4" s="20">
        <f>'Income Statement'!F4</f>
        <v>2010</v>
      </c>
      <c r="G4" s="59">
        <f>'Income Statement'!G4</f>
        <v>2011</v>
      </c>
      <c r="H4" s="60" t="s">
        <v>62</v>
      </c>
      <c r="I4" s="22">
        <f>'Income Statement'!H4</f>
        <v>2012</v>
      </c>
      <c r="J4" s="23">
        <f>'Income Statement'!I4</f>
        <v>2013</v>
      </c>
      <c r="K4" s="23">
        <f>'Income Statement'!J4</f>
        <v>2014</v>
      </c>
      <c r="L4" s="23">
        <f>'Income Statement'!K4</f>
        <v>2015</v>
      </c>
      <c r="M4" s="23">
        <f>'Income Statement'!L4</f>
        <v>2016</v>
      </c>
      <c r="N4" s="23">
        <f>'Income Statement'!M4</f>
        <v>2017</v>
      </c>
      <c r="O4" s="23">
        <f>'Income Statement'!N4</f>
        <v>2018</v>
      </c>
      <c r="P4" s="23">
        <f>'Income Statement'!O4</f>
        <v>2019</v>
      </c>
      <c r="Q4" s="23">
        <f>'Income Statement'!P4</f>
        <v>2020</v>
      </c>
      <c r="R4" s="23">
        <f>'Income Statement'!Q4</f>
        <v>2021</v>
      </c>
      <c r="S4" s="16"/>
      <c r="T4" s="16"/>
      <c r="U4" s="16"/>
      <c r="V4" s="16"/>
      <c r="W4" s="16"/>
      <c r="X4" s="16"/>
      <c r="Y4" s="16"/>
      <c r="Z4" s="16"/>
    </row>
    <row r="5" ht="12.75" customHeight="1">
      <c r="A5" s="16"/>
      <c r="B5" s="18"/>
      <c r="C5" s="24"/>
      <c r="D5" s="24"/>
      <c r="E5" s="24"/>
      <c r="F5" s="24"/>
      <c r="G5" s="24"/>
      <c r="H5" s="61"/>
      <c r="I5" s="26"/>
      <c r="J5" s="26"/>
      <c r="K5" s="26"/>
      <c r="L5" s="26"/>
      <c r="M5" s="26"/>
      <c r="N5" s="26"/>
      <c r="O5" s="26"/>
      <c r="P5" s="26"/>
      <c r="Q5" s="26"/>
      <c r="R5" s="26"/>
      <c r="S5" s="16"/>
      <c r="T5" s="16"/>
      <c r="U5" s="16"/>
      <c r="V5" s="16"/>
      <c r="W5" s="16"/>
      <c r="X5" s="16"/>
      <c r="Y5" s="16"/>
      <c r="Z5" s="16"/>
    </row>
    <row r="6" ht="12.75" customHeight="1">
      <c r="A6" s="16"/>
      <c r="B6" s="54" t="s">
        <v>63</v>
      </c>
      <c r="C6" s="30"/>
      <c r="D6" s="30"/>
      <c r="E6" s="30"/>
      <c r="F6" s="30"/>
      <c r="G6" s="30"/>
      <c r="H6" s="6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18"/>
      <c r="B7" s="18"/>
      <c r="C7" s="31"/>
      <c r="D7" s="32"/>
      <c r="E7" s="32"/>
      <c r="F7" s="32"/>
      <c r="G7" s="32"/>
      <c r="H7" s="6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2.75" customHeight="1">
      <c r="A8" s="16"/>
      <c r="B8" s="16" t="s">
        <v>64</v>
      </c>
      <c r="C8" s="30">
        <f>'PPE Schedule'!C9</f>
        <v>6.5</v>
      </c>
      <c r="D8" s="30">
        <f>'PPE Schedule'!D9</f>
        <v>7.802</v>
      </c>
      <c r="E8" s="30">
        <f>'PPE Schedule'!E9</f>
        <v>9.17</v>
      </c>
      <c r="F8" s="30">
        <f>'PPE Schedule'!F9</f>
        <v>10.558</v>
      </c>
      <c r="G8" s="30">
        <f>'PPE Schedule'!G9</f>
        <v>11.287</v>
      </c>
      <c r="H8" s="62">
        <f>G8</f>
        <v>11.287</v>
      </c>
      <c r="I8" s="30">
        <f>'PPE Schedule'!H9</f>
        <v>13.17036184</v>
      </c>
      <c r="J8" s="30">
        <f>'PPE Schedule'!I9</f>
        <v>15.00274804</v>
      </c>
      <c r="K8" s="30">
        <f>'PPE Schedule'!J9</f>
        <v>16.80399385</v>
      </c>
      <c r="L8" s="30">
        <f>'PPE Schedule'!K9</f>
        <v>18.56262605</v>
      </c>
      <c r="M8" s="30">
        <f>'PPE Schedule'!L9</f>
        <v>20.26786822</v>
      </c>
      <c r="N8" s="30">
        <f>'PPE Schedule'!M9</f>
        <v>21.06278919</v>
      </c>
      <c r="O8" s="30">
        <f>'PPE Schedule'!N9</f>
        <v>21.76807262</v>
      </c>
      <c r="P8" s="30">
        <f>'PPE Schedule'!O9</f>
        <v>22.35540045</v>
      </c>
      <c r="Q8" s="30">
        <f>'PPE Schedule'!P9</f>
        <v>22.80320641</v>
      </c>
      <c r="R8" s="30">
        <f>'PPE Schedule'!Q9</f>
        <v>23.09472851</v>
      </c>
      <c r="S8" s="30"/>
      <c r="T8" s="30"/>
      <c r="U8" s="30"/>
      <c r="V8" s="30"/>
      <c r="W8" s="30"/>
      <c r="X8" s="30"/>
      <c r="Y8" s="30"/>
      <c r="Z8" s="30"/>
    </row>
    <row r="9" ht="12.75" customHeight="1">
      <c r="A9" s="16"/>
      <c r="B9" s="64" t="s">
        <v>65</v>
      </c>
      <c r="C9" s="30"/>
      <c r="D9" s="30"/>
      <c r="E9" s="30"/>
      <c r="F9" s="30"/>
      <c r="G9" s="30"/>
      <c r="H9" s="65">
        <f>+H15-H11-H12-H8</f>
        <v>499.1829899</v>
      </c>
      <c r="I9" s="30">
        <f t="shared" ref="I9:R9" si="1">+H9</f>
        <v>499.1829899</v>
      </c>
      <c r="J9" s="30">
        <f t="shared" si="1"/>
        <v>499.1829899</v>
      </c>
      <c r="K9" s="30">
        <f t="shared" si="1"/>
        <v>499.1829899</v>
      </c>
      <c r="L9" s="30">
        <f t="shared" si="1"/>
        <v>499.1829899</v>
      </c>
      <c r="M9" s="30">
        <f t="shared" si="1"/>
        <v>499.1829899</v>
      </c>
      <c r="N9" s="30">
        <f t="shared" si="1"/>
        <v>499.1829899</v>
      </c>
      <c r="O9" s="30">
        <f t="shared" si="1"/>
        <v>499.1829899</v>
      </c>
      <c r="P9" s="30">
        <f t="shared" si="1"/>
        <v>499.1829899</v>
      </c>
      <c r="Q9" s="30">
        <f t="shared" si="1"/>
        <v>499.1829899</v>
      </c>
      <c r="R9" s="30">
        <f t="shared" si="1"/>
        <v>499.1829899</v>
      </c>
      <c r="S9" s="30"/>
      <c r="T9" s="30"/>
      <c r="U9" s="30"/>
      <c r="V9" s="30"/>
      <c r="W9" s="30"/>
      <c r="X9" s="30"/>
      <c r="Y9" s="30"/>
      <c r="Z9" s="30"/>
    </row>
    <row r="10" ht="12.75" customHeight="1">
      <c r="A10" s="18"/>
      <c r="B10" s="37" t="s">
        <v>66</v>
      </c>
      <c r="C10" s="32"/>
      <c r="D10" s="32"/>
      <c r="E10" s="32"/>
      <c r="F10" s="32"/>
      <c r="G10" s="32"/>
      <c r="H10" s="6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18"/>
      <c r="B11" s="37" t="s">
        <v>67</v>
      </c>
      <c r="C11" s="30">
        <v>31.896</v>
      </c>
      <c r="D11" s="30">
        <v>26.048</v>
      </c>
      <c r="E11" s="30">
        <v>20.513</v>
      </c>
      <c r="F11" s="30">
        <v>13.88</v>
      </c>
      <c r="G11" s="30">
        <v>14.574</v>
      </c>
      <c r="H11" s="62">
        <f t="shared" ref="H11:H12" si="2">G11</f>
        <v>14.574</v>
      </c>
      <c r="I11" s="30">
        <f>+I43/365*'Income Statement'!H64</f>
        <v>16.40275958</v>
      </c>
      <c r="J11" s="30">
        <f>+J43/365*'Income Statement'!I64</f>
        <v>17.59329118</v>
      </c>
      <c r="K11" s="30">
        <f>+K43/365*'Income Statement'!J64</f>
        <v>19.26769209</v>
      </c>
      <c r="L11" s="30">
        <f>+L43/365*'Income Statement'!K64</f>
        <v>21.23489567</v>
      </c>
      <c r="M11" s="30">
        <f>+M43/365*'Income Statement'!L64</f>
        <v>23.63442903</v>
      </c>
      <c r="N11" s="30">
        <f>+N43/365*'Income Statement'!M64</f>
        <v>25.85802398</v>
      </c>
      <c r="O11" s="30">
        <f>+O43/365*'Income Statement'!N64</f>
        <v>27.7581893</v>
      </c>
      <c r="P11" s="30">
        <f>+P43/365*'Income Statement'!O64</f>
        <v>29.25742272</v>
      </c>
      <c r="Q11" s="30">
        <f>+Q43/365*'Income Statement'!P64</f>
        <v>30.37855315</v>
      </c>
      <c r="R11" s="30">
        <f>+R43/365*'Income Statement'!Q64</f>
        <v>30.98916206</v>
      </c>
      <c r="S11" s="31"/>
      <c r="T11" s="31"/>
      <c r="U11" s="31"/>
      <c r="V11" s="31"/>
      <c r="W11" s="31"/>
      <c r="X11" s="31"/>
      <c r="Y11" s="31"/>
      <c r="Z11" s="31"/>
    </row>
    <row r="12" ht="12.75" customHeight="1">
      <c r="A12" s="16"/>
      <c r="B12" s="37" t="s">
        <v>68</v>
      </c>
      <c r="C12" s="30">
        <v>27.643</v>
      </c>
      <c r="D12" s="30">
        <v>19.536</v>
      </c>
      <c r="E12" s="30">
        <v>16.41</v>
      </c>
      <c r="F12" s="30">
        <v>19.433</v>
      </c>
      <c r="G12" s="30">
        <v>23.319</v>
      </c>
      <c r="H12" s="62">
        <f t="shared" si="2"/>
        <v>23.319</v>
      </c>
      <c r="I12" s="30">
        <f>+I45/365*-'Income Statement'!H67</f>
        <v>24.01231525</v>
      </c>
      <c r="J12" s="30">
        <f>+J45/365*-'Income Statement'!I67</f>
        <v>25.75515735</v>
      </c>
      <c r="K12" s="30">
        <f>+K45/365*-'Income Statement'!J67</f>
        <v>28.20634505</v>
      </c>
      <c r="L12" s="30">
        <f>+L45/365*-'Income Statement'!K67</f>
        <v>31.08617221</v>
      </c>
      <c r="M12" s="30">
        <f>+M45/365*-'Income Statement'!L67</f>
        <v>34.59889525</v>
      </c>
      <c r="N12" s="30">
        <f>+N45/365*-'Income Statement'!M67</f>
        <v>37.85405867</v>
      </c>
      <c r="O12" s="30">
        <f>+O45/365*-'Income Statement'!N67</f>
        <v>40.63574722</v>
      </c>
      <c r="P12" s="30">
        <f>+P45/365*-'Income Statement'!O67</f>
        <v>42.83050386</v>
      </c>
      <c r="Q12" s="30">
        <f>+Q45/365*-'Income Statement'!P67</f>
        <v>44.47174826</v>
      </c>
      <c r="R12" s="30">
        <f>+R45/365*-'Income Statement'!Q67</f>
        <v>45.3656304</v>
      </c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16"/>
      <c r="B13" s="37" t="s">
        <v>69</v>
      </c>
      <c r="C13" s="30">
        <f>+C37</f>
        <v>68.045</v>
      </c>
      <c r="D13" s="30">
        <f>+'Cash Flow Statement'!D27</f>
        <v>121.716</v>
      </c>
      <c r="E13" s="30">
        <f>+'Cash Flow Statement'!E27</f>
        <v>159.3</v>
      </c>
      <c r="F13" s="30">
        <f>+'Cash Flow Statement'!F27</f>
        <v>184.855</v>
      </c>
      <c r="G13" s="30">
        <f>+'Cash Flow Statement'!G27</f>
        <v>213.625</v>
      </c>
      <c r="H13" s="62">
        <v>0.0</v>
      </c>
      <c r="I13" s="30">
        <f>+'Cash Flow Statement'!H27</f>
        <v>23.17323926</v>
      </c>
      <c r="J13" s="30">
        <f>+'Cash Flow Statement'!I27</f>
        <v>49.04705476</v>
      </c>
      <c r="K13" s="30">
        <f>+'Cash Flow Statement'!J27</f>
        <v>79.66897531</v>
      </c>
      <c r="L13" s="30">
        <f>+'Cash Flow Statement'!K27</f>
        <v>115.2429683</v>
      </c>
      <c r="M13" s="30">
        <f>+'Cash Flow Statement'!L27</f>
        <v>157.0312008</v>
      </c>
      <c r="N13" s="30">
        <f>+'Cash Flow Statement'!M27</f>
        <v>204.1163342</v>
      </c>
      <c r="O13" s="30">
        <f>+'Cash Flow Statement'!N27</f>
        <v>78.39562275</v>
      </c>
      <c r="P13" s="30">
        <f>+'Cash Flow Statement'!O27</f>
        <v>85.52568609</v>
      </c>
      <c r="Q13" s="30">
        <f>+'Cash Flow Statement'!P27</f>
        <v>153.0921524</v>
      </c>
      <c r="R13" s="30">
        <f>+'Cash Flow Statement'!Q27</f>
        <v>220.9592553</v>
      </c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18"/>
      <c r="B14" s="36"/>
      <c r="C14" s="32"/>
      <c r="D14" s="32"/>
      <c r="E14" s="32"/>
      <c r="F14" s="32"/>
      <c r="G14" s="32"/>
      <c r="H14" s="63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1"/>
      <c r="T14" s="31"/>
      <c r="U14" s="31"/>
      <c r="V14" s="31"/>
      <c r="W14" s="31"/>
      <c r="X14" s="31"/>
      <c r="Y14" s="31"/>
      <c r="Z14" s="31"/>
    </row>
    <row r="15" ht="12.75" customHeight="1">
      <c r="A15" s="18"/>
      <c r="B15" s="66" t="s">
        <v>70</v>
      </c>
      <c r="C15" s="67">
        <f t="shared" ref="C15:G15" si="3">+C8+C11+C12+C13</f>
        <v>134.084</v>
      </c>
      <c r="D15" s="67">
        <f t="shared" si="3"/>
        <v>175.102</v>
      </c>
      <c r="E15" s="67">
        <f t="shared" si="3"/>
        <v>205.393</v>
      </c>
      <c r="F15" s="67">
        <f t="shared" si="3"/>
        <v>228.726</v>
      </c>
      <c r="G15" s="67">
        <f t="shared" si="3"/>
        <v>262.805</v>
      </c>
      <c r="H15" s="68">
        <f>+H28</f>
        <v>548.3629899</v>
      </c>
      <c r="I15" s="67">
        <f t="shared" ref="I15:R15" si="4">+I8+I11+I12+I13+I9</f>
        <v>575.9416658</v>
      </c>
      <c r="J15" s="67">
        <f t="shared" si="4"/>
        <v>606.5812412</v>
      </c>
      <c r="K15" s="67">
        <f t="shared" si="4"/>
        <v>643.1299962</v>
      </c>
      <c r="L15" s="67">
        <f t="shared" si="4"/>
        <v>685.3096521</v>
      </c>
      <c r="M15" s="67">
        <f t="shared" si="4"/>
        <v>734.7153831</v>
      </c>
      <c r="N15" s="67">
        <f t="shared" si="4"/>
        <v>788.0741959</v>
      </c>
      <c r="O15" s="67">
        <f t="shared" si="4"/>
        <v>667.7406218</v>
      </c>
      <c r="P15" s="67">
        <f t="shared" si="4"/>
        <v>679.152003</v>
      </c>
      <c r="Q15" s="67">
        <f t="shared" si="4"/>
        <v>749.9286501</v>
      </c>
      <c r="R15" s="67">
        <f t="shared" si="4"/>
        <v>819.5917661</v>
      </c>
      <c r="S15" s="31"/>
      <c r="T15" s="31"/>
      <c r="U15" s="31"/>
      <c r="V15" s="31"/>
      <c r="W15" s="31"/>
      <c r="X15" s="31"/>
      <c r="Y15" s="31"/>
      <c r="Z15" s="31"/>
    </row>
    <row r="16" ht="12.75" customHeight="1">
      <c r="A16" s="16"/>
      <c r="B16" s="37"/>
      <c r="C16" s="30"/>
      <c r="D16" s="30"/>
      <c r="E16" s="30"/>
      <c r="F16" s="30"/>
      <c r="G16" s="30"/>
      <c r="H16" s="6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6"/>
      <c r="B17" s="54" t="s">
        <v>71</v>
      </c>
      <c r="C17" s="30"/>
      <c r="D17" s="30"/>
      <c r="E17" s="30"/>
      <c r="F17" s="30"/>
      <c r="G17" s="30"/>
      <c r="H17" s="6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16"/>
      <c r="B18" s="37"/>
      <c r="C18" s="30"/>
      <c r="D18" s="30"/>
      <c r="E18" s="30"/>
      <c r="F18" s="30"/>
      <c r="G18" s="30"/>
      <c r="H18" s="62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8"/>
      <c r="B19" s="37" t="s">
        <v>72</v>
      </c>
      <c r="C19" s="28">
        <f t="shared" ref="C19:G19" si="5">+C20+C21</f>
        <v>41.556</v>
      </c>
      <c r="D19" s="28">
        <f t="shared" si="5"/>
        <v>78.006</v>
      </c>
      <c r="E19" s="28">
        <f t="shared" si="5"/>
        <v>97.016</v>
      </c>
      <c r="F19" s="28">
        <f t="shared" si="5"/>
        <v>124.324</v>
      </c>
      <c r="G19" s="28">
        <f t="shared" si="5"/>
        <v>159.933</v>
      </c>
      <c r="H19" s="69">
        <f>+'LBO Modelling'!D12</f>
        <v>240.4949899</v>
      </c>
      <c r="I19" s="28">
        <f>+H19+'Income Statement'!H99</f>
        <v>262.9056412</v>
      </c>
      <c r="J19" s="28">
        <f>+I19+'Income Statement'!I99</f>
        <v>287.8809798</v>
      </c>
      <c r="K19" s="28">
        <f>+J19+'Income Statement'!J99</f>
        <v>316.4633748</v>
      </c>
      <c r="L19" s="28">
        <f>+K19+'Income Statement'!K99</f>
        <v>349.2835924</v>
      </c>
      <c r="M19" s="28">
        <f>+L19+'Income Statement'!L99</f>
        <v>387.2729736</v>
      </c>
      <c r="N19" s="28">
        <f>+M19+'Income Statement'!M99</f>
        <v>430.0525052</v>
      </c>
      <c r="O19" s="28">
        <f>+N19+'Income Statement'!N99</f>
        <v>476.9254433</v>
      </c>
      <c r="P19" s="28">
        <f>+O19+'Income Statement'!O99</f>
        <v>539.9528654</v>
      </c>
      <c r="Q19" s="28">
        <f>+P19+'Income Statement'!P99</f>
        <v>605.3954682</v>
      </c>
      <c r="R19" s="28">
        <f>+Q19+'Income Statement'!Q99</f>
        <v>672.1534673</v>
      </c>
      <c r="S19" s="31"/>
      <c r="T19" s="31"/>
      <c r="U19" s="31"/>
      <c r="V19" s="31"/>
      <c r="W19" s="31"/>
      <c r="X19" s="31"/>
      <c r="Y19" s="31"/>
      <c r="Z19" s="31"/>
    </row>
    <row r="20" ht="12.75" customHeight="1">
      <c r="A20" s="16"/>
      <c r="B20" s="37" t="s">
        <v>73</v>
      </c>
      <c r="C20" s="30">
        <f>+C15-C21-C23-C26</f>
        <v>13.045</v>
      </c>
      <c r="D20" s="30">
        <f t="shared" ref="D20:G20" si="6">+C20</f>
        <v>13.045</v>
      </c>
      <c r="E20" s="30">
        <f t="shared" si="6"/>
        <v>13.045</v>
      </c>
      <c r="F20" s="30">
        <f t="shared" si="6"/>
        <v>13.045</v>
      </c>
      <c r="G20" s="30">
        <f t="shared" si="6"/>
        <v>13.045</v>
      </c>
      <c r="H20" s="62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16"/>
      <c r="B21" s="37" t="s">
        <v>74</v>
      </c>
      <c r="C21" s="30">
        <v>28.511</v>
      </c>
      <c r="D21" s="30">
        <f>+C21+'Income Statement'!D99</f>
        <v>64.961</v>
      </c>
      <c r="E21" s="30">
        <f>+D21+'Income Statement'!E99</f>
        <v>83.971</v>
      </c>
      <c r="F21" s="30">
        <f>+E21+'Income Statement'!F99</f>
        <v>111.279</v>
      </c>
      <c r="G21" s="30">
        <f>+F21+'Income Statement'!G99</f>
        <v>146.888</v>
      </c>
      <c r="H21" s="6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16"/>
      <c r="B22" s="37"/>
      <c r="C22" s="30"/>
      <c r="D22" s="30"/>
      <c r="E22" s="30"/>
      <c r="F22" s="30"/>
      <c r="G22" s="30"/>
      <c r="H22" s="62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16"/>
      <c r="B23" s="37" t="s">
        <v>75</v>
      </c>
      <c r="C23" s="30">
        <f>'Debt Schedule'!C8</f>
        <v>50</v>
      </c>
      <c r="D23" s="30">
        <f>'Debt Schedule'!D8</f>
        <v>45</v>
      </c>
      <c r="E23" s="30">
        <f>'Debt Schedule'!E8</f>
        <v>40</v>
      </c>
      <c r="F23" s="30">
        <f>'Debt Schedule'!F8</f>
        <v>35</v>
      </c>
      <c r="G23" s="30">
        <f>'Debt Schedule'!G8</f>
        <v>30</v>
      </c>
      <c r="H23" s="69">
        <f>+'LBO Modelling'!D8</f>
        <v>234.996</v>
      </c>
      <c r="I23" s="30">
        <f>+'LBO Modelling'!C58</f>
        <v>234.996</v>
      </c>
      <c r="J23" s="30">
        <f>+'LBO Modelling'!D58</f>
        <v>234.996</v>
      </c>
      <c r="K23" s="30">
        <f>+'LBO Modelling'!E58</f>
        <v>234.996</v>
      </c>
      <c r="L23" s="30">
        <f>+'LBO Modelling'!F58</f>
        <v>234.996</v>
      </c>
      <c r="M23" s="30">
        <f>+'LBO Modelling'!G58</f>
        <v>234.996</v>
      </c>
      <c r="N23" s="30">
        <f>+'LBO Modelling'!H58</f>
        <v>234.996</v>
      </c>
      <c r="O23" s="30">
        <f>+'LBO Modelling'!I58</f>
        <v>58.749</v>
      </c>
      <c r="P23" s="30">
        <f>+'LBO Modelling'!J58</f>
        <v>0</v>
      </c>
      <c r="Q23" s="30">
        <f>+'LBO Modelling'!K58</f>
        <v>0</v>
      </c>
      <c r="R23" s="30">
        <f>+'LBO Modelling'!L58</f>
        <v>0</v>
      </c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16"/>
      <c r="B24" s="37"/>
      <c r="C24" s="30"/>
      <c r="D24" s="30"/>
      <c r="E24" s="30"/>
      <c r="F24" s="30"/>
      <c r="G24" s="30"/>
      <c r="H24" s="6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8"/>
      <c r="B25" s="37" t="s">
        <v>76</v>
      </c>
      <c r="C25" s="32"/>
      <c r="D25" s="32"/>
      <c r="E25" s="32"/>
      <c r="F25" s="32"/>
      <c r="G25" s="32"/>
      <c r="H25" s="6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1"/>
      <c r="T25" s="31"/>
      <c r="U25" s="31"/>
      <c r="V25" s="31"/>
      <c r="W25" s="31"/>
      <c r="X25" s="31"/>
      <c r="Y25" s="31"/>
      <c r="Z25" s="31"/>
    </row>
    <row r="26" ht="12.75" customHeight="1">
      <c r="A26" s="18"/>
      <c r="B26" s="37" t="s">
        <v>77</v>
      </c>
      <c r="C26" s="30">
        <v>42.528</v>
      </c>
      <c r="D26" s="30">
        <v>52.096</v>
      </c>
      <c r="E26" s="30">
        <v>68.377</v>
      </c>
      <c r="F26" s="30">
        <v>69.402</v>
      </c>
      <c r="G26" s="30">
        <v>72.872</v>
      </c>
      <c r="H26" s="62">
        <f>G26</f>
        <v>72.872</v>
      </c>
      <c r="I26" s="30">
        <f>+I44/365*-'Income Statement'!H67</f>
        <v>78.04002455</v>
      </c>
      <c r="J26" s="30">
        <f>+J44/365*-'Income Statement'!I67</f>
        <v>83.70426139</v>
      </c>
      <c r="K26" s="30">
        <f>+K44/365*-'Income Statement'!J67</f>
        <v>91.67062142</v>
      </c>
      <c r="L26" s="30">
        <f>+L44/365*-'Income Statement'!K67</f>
        <v>101.0300597</v>
      </c>
      <c r="M26" s="30">
        <f>+M44/365*-'Income Statement'!L67</f>
        <v>112.4464096</v>
      </c>
      <c r="N26" s="30">
        <f>+N44/365*-'Income Statement'!M67</f>
        <v>123.0256907</v>
      </c>
      <c r="O26" s="30">
        <f>+O44/365*-'Income Statement'!N67</f>
        <v>132.0661785</v>
      </c>
      <c r="P26" s="30">
        <f>+P44/365*-'Income Statement'!O67</f>
        <v>139.1991376</v>
      </c>
      <c r="Q26" s="30">
        <f>+Q44/365*-'Income Statement'!P67</f>
        <v>144.5331819</v>
      </c>
      <c r="R26" s="30">
        <f>+R44/365*-'Income Statement'!Q67</f>
        <v>147.4382988</v>
      </c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16"/>
      <c r="B27" s="37"/>
      <c r="C27" s="30"/>
      <c r="D27" s="30"/>
      <c r="E27" s="30"/>
      <c r="F27" s="30"/>
      <c r="G27" s="30"/>
      <c r="H27" s="6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16"/>
      <c r="B28" s="70" t="s">
        <v>78</v>
      </c>
      <c r="C28" s="67">
        <f>+C19+C23+C26</f>
        <v>134.084</v>
      </c>
      <c r="D28" s="67">
        <f t="shared" ref="D28:G28" si="7">+D20+D21+D23+D26</f>
        <v>175.102</v>
      </c>
      <c r="E28" s="67">
        <f t="shared" si="7"/>
        <v>205.393</v>
      </c>
      <c r="F28" s="67">
        <f t="shared" si="7"/>
        <v>228.726</v>
      </c>
      <c r="G28" s="67">
        <f t="shared" si="7"/>
        <v>262.805</v>
      </c>
      <c r="H28" s="68">
        <f t="shared" ref="H28:R28" si="8">+H19+H23+H26</f>
        <v>548.3629899</v>
      </c>
      <c r="I28" s="67">
        <f t="shared" si="8"/>
        <v>575.9416658</v>
      </c>
      <c r="J28" s="67">
        <f t="shared" si="8"/>
        <v>606.5812412</v>
      </c>
      <c r="K28" s="67">
        <f t="shared" si="8"/>
        <v>643.1299962</v>
      </c>
      <c r="L28" s="67">
        <f t="shared" si="8"/>
        <v>685.3096521</v>
      </c>
      <c r="M28" s="67">
        <f t="shared" si="8"/>
        <v>734.7153831</v>
      </c>
      <c r="N28" s="67">
        <f t="shared" si="8"/>
        <v>788.0741959</v>
      </c>
      <c r="O28" s="67">
        <f t="shared" si="8"/>
        <v>667.7406218</v>
      </c>
      <c r="P28" s="67">
        <f t="shared" si="8"/>
        <v>679.152003</v>
      </c>
      <c r="Q28" s="67">
        <f t="shared" si="8"/>
        <v>749.9286501</v>
      </c>
      <c r="R28" s="67">
        <f t="shared" si="8"/>
        <v>819.5917661</v>
      </c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71"/>
      <c r="B29" s="72" t="s">
        <v>79</v>
      </c>
      <c r="C29" s="73">
        <f t="shared" ref="C29:R29" si="9">+C15-C28</f>
        <v>0</v>
      </c>
      <c r="D29" s="73">
        <f t="shared" si="9"/>
        <v>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9"/>
        <v>0</v>
      </c>
      <c r="O29" s="73">
        <f t="shared" si="9"/>
        <v>0</v>
      </c>
      <c r="P29" s="73">
        <f t="shared" si="9"/>
        <v>0</v>
      </c>
      <c r="Q29" s="73">
        <f t="shared" si="9"/>
        <v>0</v>
      </c>
      <c r="R29" s="73">
        <f t="shared" si="9"/>
        <v>0</v>
      </c>
      <c r="S29" s="73"/>
      <c r="T29" s="73"/>
      <c r="U29" s="73"/>
      <c r="V29" s="73"/>
      <c r="W29" s="73"/>
      <c r="X29" s="73"/>
      <c r="Y29" s="73"/>
      <c r="Z29" s="73"/>
    </row>
    <row r="30" ht="12.75" customHeight="1">
      <c r="A30" s="16"/>
      <c r="B30" s="37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16"/>
      <c r="B31" s="74" t="s">
        <v>80</v>
      </c>
      <c r="C31" s="7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6"/>
      <c r="B32" s="76" t="s">
        <v>81</v>
      </c>
      <c r="C32" s="77">
        <v>3.0</v>
      </c>
      <c r="D32" s="32"/>
      <c r="E32" s="32"/>
      <c r="F32" s="32"/>
      <c r="G32" s="32"/>
      <c r="H32" s="3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4.5" customHeight="1">
      <c r="A33" s="16"/>
      <c r="B33" s="76"/>
      <c r="C33" s="7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16"/>
      <c r="B34" s="76" t="s">
        <v>82</v>
      </c>
      <c r="C34" s="77">
        <f>+C32</f>
        <v>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8"/>
      <c r="B35" s="76" t="s">
        <v>83</v>
      </c>
      <c r="C35" s="77">
        <f>+C34*C26</f>
        <v>127.584</v>
      </c>
      <c r="D35" s="32"/>
      <c r="E35" s="32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4.5" customHeight="1">
      <c r="A36" s="18"/>
      <c r="B36" s="78"/>
      <c r="C36" s="79"/>
      <c r="D36" s="32"/>
      <c r="E36" s="32"/>
      <c r="F36" s="32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75" customHeight="1">
      <c r="A37" s="16"/>
      <c r="B37" s="80" t="s">
        <v>84</v>
      </c>
      <c r="C37" s="81">
        <f>+C35-C11-C12</f>
        <v>68.045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16"/>
      <c r="B38" s="37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36"/>
      <c r="C39" s="32"/>
      <c r="D39" s="32"/>
      <c r="E39" s="32"/>
      <c r="F39" s="32"/>
      <c r="G39" s="32"/>
      <c r="H39" s="3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82" t="s">
        <v>85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75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7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77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78"/>
      <c r="C42" s="20">
        <f t="shared" ref="C42:G42" si="10">+C4</f>
        <v>2007</v>
      </c>
      <c r="D42" s="20">
        <f t="shared" si="10"/>
        <v>2008</v>
      </c>
      <c r="E42" s="20">
        <f t="shared" si="10"/>
        <v>2009</v>
      </c>
      <c r="F42" s="20">
        <f t="shared" si="10"/>
        <v>2010</v>
      </c>
      <c r="G42" s="20">
        <f t="shared" si="10"/>
        <v>2011</v>
      </c>
      <c r="H42" s="84"/>
      <c r="I42" s="22">
        <f t="shared" ref="I42:R42" si="11">+I4</f>
        <v>2012</v>
      </c>
      <c r="J42" s="23">
        <f t="shared" si="11"/>
        <v>2013</v>
      </c>
      <c r="K42" s="23">
        <f t="shared" si="11"/>
        <v>2014</v>
      </c>
      <c r="L42" s="23">
        <f t="shared" si="11"/>
        <v>2015</v>
      </c>
      <c r="M42" s="23">
        <f t="shared" si="11"/>
        <v>2016</v>
      </c>
      <c r="N42" s="23">
        <f t="shared" si="11"/>
        <v>2017</v>
      </c>
      <c r="O42" s="23">
        <f t="shared" si="11"/>
        <v>2018</v>
      </c>
      <c r="P42" s="23">
        <f t="shared" si="11"/>
        <v>2019</v>
      </c>
      <c r="Q42" s="23">
        <f t="shared" si="11"/>
        <v>2020</v>
      </c>
      <c r="R42" s="23">
        <f t="shared" si="11"/>
        <v>2021</v>
      </c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6"/>
      <c r="B43" s="76" t="s">
        <v>86</v>
      </c>
      <c r="C43" s="85">
        <f>+C11/'Income Statement'!C64*365</f>
        <v>55.30345063</v>
      </c>
      <c r="D43" s="85">
        <f>+D11/'Income Statement'!D64*365</f>
        <v>36.86842952</v>
      </c>
      <c r="E43" s="85">
        <f>+E11/'Income Statement'!E64*365</f>
        <v>27.79198821</v>
      </c>
      <c r="F43" s="85">
        <f>+F11/'Income Statement'!F64*365</f>
        <v>18.62183292</v>
      </c>
      <c r="G43" s="86">
        <f>+G11/'Income Statement'!G64*365</f>
        <v>18.81387403</v>
      </c>
      <c r="H43" s="85"/>
      <c r="I43" s="87">
        <v>20.0</v>
      </c>
      <c r="J43" s="85">
        <f t="shared" ref="J43:R43" si="12">+I43</f>
        <v>20</v>
      </c>
      <c r="K43" s="85">
        <f t="shared" si="12"/>
        <v>20</v>
      </c>
      <c r="L43" s="85">
        <f t="shared" si="12"/>
        <v>20</v>
      </c>
      <c r="M43" s="85">
        <f t="shared" si="12"/>
        <v>20</v>
      </c>
      <c r="N43" s="85">
        <f t="shared" si="12"/>
        <v>20</v>
      </c>
      <c r="O43" s="85">
        <f t="shared" si="12"/>
        <v>20</v>
      </c>
      <c r="P43" s="85">
        <f t="shared" si="12"/>
        <v>20</v>
      </c>
      <c r="Q43" s="85">
        <f t="shared" si="12"/>
        <v>20</v>
      </c>
      <c r="R43" s="88">
        <f t="shared" si="12"/>
        <v>20</v>
      </c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6"/>
      <c r="B44" s="76" t="s">
        <v>87</v>
      </c>
      <c r="C44" s="85">
        <f>+C26/-'Income Statement'!C67*365</f>
        <v>104.2864149</v>
      </c>
      <c r="D44" s="85">
        <f>+D26/-'Income Statement'!D67*365</f>
        <v>107.3519715</v>
      </c>
      <c r="E44" s="85">
        <f>+E26/-'Income Statement'!E67*365</f>
        <v>121.6672598</v>
      </c>
      <c r="F44" s="85">
        <f>+F26/-'Income Statement'!F67*365</f>
        <v>125.8619439</v>
      </c>
      <c r="G44" s="86">
        <f>+G26/-'Income Statement'!G67*365</f>
        <v>130.3568873</v>
      </c>
      <c r="H44" s="85"/>
      <c r="I44" s="87">
        <v>130.0</v>
      </c>
      <c r="J44" s="85">
        <f t="shared" ref="J44:R44" si="13">+I44</f>
        <v>130</v>
      </c>
      <c r="K44" s="85">
        <f t="shared" si="13"/>
        <v>130</v>
      </c>
      <c r="L44" s="85">
        <f t="shared" si="13"/>
        <v>130</v>
      </c>
      <c r="M44" s="85">
        <f t="shared" si="13"/>
        <v>130</v>
      </c>
      <c r="N44" s="85">
        <f t="shared" si="13"/>
        <v>130</v>
      </c>
      <c r="O44" s="85">
        <f t="shared" si="13"/>
        <v>130</v>
      </c>
      <c r="P44" s="85">
        <f t="shared" si="13"/>
        <v>130</v>
      </c>
      <c r="Q44" s="85">
        <f t="shared" si="13"/>
        <v>130</v>
      </c>
      <c r="R44" s="88">
        <f t="shared" si="13"/>
        <v>130</v>
      </c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16"/>
      <c r="B45" s="89" t="s">
        <v>88</v>
      </c>
      <c r="C45" s="90">
        <f>+C12/-'Income Statement'!C67*365</f>
        <v>67.78567925</v>
      </c>
      <c r="D45" s="90">
        <f>+D12/-'Income Statement'!D67*365</f>
        <v>40.2569893</v>
      </c>
      <c r="E45" s="90">
        <f>+E12/-'Income Statement'!E67*365</f>
        <v>29.19928826</v>
      </c>
      <c r="F45" s="90">
        <f>+F12/-'Income Statement'!F67*365</f>
        <v>35.24214224</v>
      </c>
      <c r="G45" s="91">
        <f>+G12/-'Income Statement'!G67*365</f>
        <v>41.71413238</v>
      </c>
      <c r="H45" s="90"/>
      <c r="I45" s="92">
        <v>40.0</v>
      </c>
      <c r="J45" s="90">
        <f t="shared" ref="J45:R45" si="14">+I45</f>
        <v>40</v>
      </c>
      <c r="K45" s="90">
        <f t="shared" si="14"/>
        <v>40</v>
      </c>
      <c r="L45" s="90">
        <f t="shared" si="14"/>
        <v>40</v>
      </c>
      <c r="M45" s="90">
        <f t="shared" si="14"/>
        <v>40</v>
      </c>
      <c r="N45" s="90">
        <f t="shared" si="14"/>
        <v>40</v>
      </c>
      <c r="O45" s="90">
        <f t="shared" si="14"/>
        <v>40</v>
      </c>
      <c r="P45" s="90">
        <f t="shared" si="14"/>
        <v>40</v>
      </c>
      <c r="Q45" s="90">
        <f t="shared" si="14"/>
        <v>40</v>
      </c>
      <c r="R45" s="93">
        <f t="shared" si="14"/>
        <v>40</v>
      </c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18"/>
      <c r="B46" s="36"/>
      <c r="C46" s="32"/>
      <c r="D46" s="32"/>
      <c r="E46" s="32"/>
      <c r="F46" s="32"/>
      <c r="G46" s="32"/>
      <c r="H46" s="32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18"/>
      <c r="B47" s="36"/>
      <c r="C47" s="32"/>
      <c r="D47" s="32"/>
      <c r="E47" s="32"/>
      <c r="F47" s="32"/>
      <c r="G47" s="32"/>
      <c r="H47" s="32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16"/>
      <c r="B48" s="1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16"/>
      <c r="B49" s="16" t="s">
        <v>89</v>
      </c>
      <c r="C49" s="30">
        <f t="shared" ref="C49:G49" si="15">SUM(C11:C12)-C26</f>
        <v>17.011</v>
      </c>
      <c r="D49" s="30">
        <f t="shared" si="15"/>
        <v>-6.512</v>
      </c>
      <c r="E49" s="30">
        <f t="shared" si="15"/>
        <v>-31.454</v>
      </c>
      <c r="F49" s="30">
        <f t="shared" si="15"/>
        <v>-36.089</v>
      </c>
      <c r="G49" s="30">
        <f t="shared" si="15"/>
        <v>-34.979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16"/>
      <c r="B50" s="16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16" t="s">
        <v>90</v>
      </c>
      <c r="C51" s="30">
        <f t="shared" ref="C51:G51" si="16">-(C23-C13)</f>
        <v>18.045</v>
      </c>
      <c r="D51" s="30">
        <f t="shared" si="16"/>
        <v>76.716</v>
      </c>
      <c r="E51" s="30">
        <f t="shared" si="16"/>
        <v>119.3</v>
      </c>
      <c r="F51" s="30">
        <f t="shared" si="16"/>
        <v>149.855</v>
      </c>
      <c r="G51" s="30">
        <f t="shared" si="16"/>
        <v>183.625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16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1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1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6"/>
      <c r="B55" s="1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16"/>
      <c r="B56" s="1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6"/>
      <c r="B58" s="16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16"/>
      <c r="B59" s="1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16"/>
      <c r="B60" s="1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6"/>
      <c r="B62" s="1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16"/>
      <c r="B63" s="1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16"/>
      <c r="B64" s="16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6"/>
      <c r="B65" s="16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16"/>
      <c r="B66" s="1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6"/>
      <c r="B68" s="16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16"/>
      <c r="B69" s="1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16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1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1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6"/>
      <c r="B77" s="16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16"/>
      <c r="B78" s="16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6"/>
      <c r="B80" s="16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16"/>
      <c r="B81" s="16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16"/>
      <c r="B82" s="1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6"/>
      <c r="B84" s="16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16"/>
      <c r="B85" s="1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16"/>
      <c r="B86" s="1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6"/>
      <c r="B87" s="1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16"/>
      <c r="B88" s="16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16"/>
      <c r="B89" s="16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16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16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16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16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16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16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16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16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1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16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4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6.0"/>
    <col customWidth="1" min="3" max="3" width="8.13"/>
    <col customWidth="1" min="4" max="5" width="8.25"/>
    <col customWidth="1" min="6" max="17" width="8.13"/>
    <col customWidth="1" min="18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7" t="s">
        <v>91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58" t="s">
        <v>18</v>
      </c>
      <c r="C4" s="20">
        <f>'Income Statement'!C4</f>
        <v>2007</v>
      </c>
      <c r="D4" s="20">
        <f>'Income Statement'!D4</f>
        <v>2008</v>
      </c>
      <c r="E4" s="20">
        <f>'Income Statement'!E4</f>
        <v>2009</v>
      </c>
      <c r="F4" s="20">
        <f>'Income Statement'!F4</f>
        <v>2010</v>
      </c>
      <c r="G4" s="21">
        <f>'Income Statement'!G4</f>
        <v>2011</v>
      </c>
      <c r="H4" s="22">
        <f>'Income Statement'!H4</f>
        <v>2012</v>
      </c>
      <c r="I4" s="23">
        <f>'Income Statement'!I4</f>
        <v>2013</v>
      </c>
      <c r="J4" s="23">
        <f>'Income Statement'!J4</f>
        <v>2014</v>
      </c>
      <c r="K4" s="23">
        <f>'Income Statement'!K4</f>
        <v>2015</v>
      </c>
      <c r="L4" s="23">
        <f>'Income Statement'!L4</f>
        <v>2016</v>
      </c>
      <c r="M4" s="23">
        <f>'Income Statement'!M4</f>
        <v>2017</v>
      </c>
      <c r="N4" s="23">
        <f>'Income Statement'!N4</f>
        <v>2018</v>
      </c>
      <c r="O4" s="23">
        <f>'Income Statement'!O4</f>
        <v>2019</v>
      </c>
      <c r="P4" s="23">
        <f>'Income Statement'!P4</f>
        <v>2020</v>
      </c>
      <c r="Q4" s="23">
        <f>'Income Statement'!Q4</f>
        <v>2021</v>
      </c>
      <c r="R4" s="16"/>
      <c r="S4" s="16"/>
      <c r="T4" s="16"/>
      <c r="U4" s="16"/>
      <c r="V4" s="16"/>
      <c r="W4" s="16"/>
      <c r="X4" s="16"/>
      <c r="Y4" s="16"/>
      <c r="Z4" s="16"/>
    </row>
    <row r="5" ht="12.75" customHeight="1">
      <c r="A5" s="16"/>
      <c r="B5" s="27"/>
      <c r="C5" s="30"/>
      <c r="D5" s="30"/>
      <c r="E5" s="30"/>
      <c r="F5" s="30"/>
      <c r="G5" s="3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18"/>
      <c r="B6" s="37" t="s">
        <v>92</v>
      </c>
      <c r="C6" s="30">
        <f>'Income Statement'!C99</f>
        <v>27.088</v>
      </c>
      <c r="D6" s="30">
        <f>'Income Statement'!D99</f>
        <v>36.45</v>
      </c>
      <c r="E6" s="30">
        <f>'Income Statement'!E99</f>
        <v>19.01</v>
      </c>
      <c r="F6" s="30">
        <f>'Income Statement'!F99</f>
        <v>27.308</v>
      </c>
      <c r="G6" s="34">
        <f>'Income Statement'!G99</f>
        <v>35.609</v>
      </c>
      <c r="H6" s="30">
        <f>'Income Statement'!H99</f>
        <v>22.41065137</v>
      </c>
      <c r="I6" s="30">
        <f>'Income Statement'!I99</f>
        <v>24.97533857</v>
      </c>
      <c r="J6" s="30">
        <f>'Income Statement'!J99</f>
        <v>28.58239494</v>
      </c>
      <c r="K6" s="30">
        <f>'Income Statement'!K99</f>
        <v>32.82021766</v>
      </c>
      <c r="L6" s="30">
        <f>'Income Statement'!L99</f>
        <v>37.98938117</v>
      </c>
      <c r="M6" s="30">
        <f>'Income Statement'!M99</f>
        <v>42.77953166</v>
      </c>
      <c r="N6" s="30">
        <f>'Income Statement'!N99</f>
        <v>46.87293806</v>
      </c>
      <c r="O6" s="30">
        <f>'Income Statement'!O99</f>
        <v>63.02742214</v>
      </c>
      <c r="P6" s="30">
        <f>'Income Statement'!P99</f>
        <v>65.44260278</v>
      </c>
      <c r="Q6" s="30">
        <f>'Income Statement'!Q99</f>
        <v>66.7579991</v>
      </c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16"/>
      <c r="B7" s="37" t="s">
        <v>93</v>
      </c>
      <c r="C7" s="30">
        <f>-'Income Statement'!C92</f>
        <v>3.3</v>
      </c>
      <c r="D7" s="30">
        <f>-'Income Statement'!D92</f>
        <v>3</v>
      </c>
      <c r="E7" s="30">
        <f>-'Income Statement'!E92</f>
        <v>2.7</v>
      </c>
      <c r="F7" s="30">
        <f>-'Income Statement'!F92</f>
        <v>2.4</v>
      </c>
      <c r="G7" s="34">
        <f>-'Income Statement'!G92</f>
        <v>2.1</v>
      </c>
      <c r="H7" s="30">
        <f>-'Income Statement'!H92</f>
        <v>12.92478</v>
      </c>
      <c r="I7" s="30">
        <f>-'Income Statement'!I92</f>
        <v>12.92478</v>
      </c>
      <c r="J7" s="30">
        <f>-'Income Statement'!J92</f>
        <v>12.92478</v>
      </c>
      <c r="K7" s="30">
        <f>-'Income Statement'!K92</f>
        <v>12.92478</v>
      </c>
      <c r="L7" s="30">
        <f>-'Income Statement'!L92</f>
        <v>12.92478</v>
      </c>
      <c r="M7" s="30">
        <f>-'Income Statement'!M92</f>
        <v>12.92478</v>
      </c>
      <c r="N7" s="30">
        <f>-'Income Statement'!N92</f>
        <v>12.92478</v>
      </c>
      <c r="O7" s="30">
        <f>-'Income Statement'!O92</f>
        <v>0</v>
      </c>
      <c r="P7" s="30">
        <f>-'Income Statement'!P92</f>
        <v>0</v>
      </c>
      <c r="Q7" s="30">
        <f>-'Income Statement'!Q92</f>
        <v>0</v>
      </c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16"/>
      <c r="B8" s="37" t="s">
        <v>94</v>
      </c>
      <c r="C8" s="30">
        <f>-'Income Statement'!C82</f>
        <v>2.605</v>
      </c>
      <c r="D8" s="30">
        <f>-'Income Statement'!D82</f>
        <v>2.605</v>
      </c>
      <c r="E8" s="30">
        <f>-'Income Statement'!E82</f>
        <v>1.367</v>
      </c>
      <c r="F8" s="30">
        <f>-'Income Statement'!F82</f>
        <v>1.388</v>
      </c>
      <c r="G8" s="34">
        <f>-'Income Statement'!G82</f>
        <v>1.457</v>
      </c>
      <c r="H8" s="30">
        <f>-'Income Statement'!H82</f>
        <v>4.288817787</v>
      </c>
      <c r="I8" s="30">
        <f>-'Income Statement'!I82</f>
        <v>4.787777482</v>
      </c>
      <c r="J8" s="30">
        <f>-'Income Statement'!J82</f>
        <v>5.448976688</v>
      </c>
      <c r="K8" s="30">
        <f>-'Income Statement'!K82</f>
        <v>6.231827554</v>
      </c>
      <c r="L8" s="30">
        <f>-'Income Statement'!L82</f>
        <v>7.188135831</v>
      </c>
      <c r="M8" s="30">
        <f>-'Income Statement'!M82</f>
        <v>4.070125309</v>
      </c>
      <c r="N8" s="30">
        <f>-'Income Statement'!N82</f>
        <v>4.517268588</v>
      </c>
      <c r="O8" s="30">
        <f>-'Income Statement'!O82</f>
        <v>4.917296782</v>
      </c>
      <c r="P8" s="30">
        <f>-'Income Statement'!P82</f>
        <v>5.267753238</v>
      </c>
      <c r="Q8" s="30">
        <f>-'Income Statement'!Q82</f>
        <v>5.538919839</v>
      </c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18"/>
      <c r="B9" s="37"/>
      <c r="C9" s="32"/>
      <c r="D9" s="32"/>
      <c r="E9" s="32"/>
      <c r="F9" s="32"/>
      <c r="G9" s="33"/>
      <c r="H9" s="32"/>
      <c r="I9" s="32"/>
      <c r="J9" s="32"/>
      <c r="K9" s="32"/>
      <c r="L9" s="32"/>
      <c r="M9" s="32"/>
      <c r="N9" s="32"/>
      <c r="O9" s="32"/>
      <c r="P9" s="32"/>
      <c r="Q9" s="32"/>
      <c r="R9" s="31"/>
      <c r="S9" s="31"/>
      <c r="T9" s="31"/>
      <c r="U9" s="31"/>
      <c r="V9" s="31"/>
      <c r="W9" s="31"/>
      <c r="X9" s="31"/>
      <c r="Y9" s="31"/>
      <c r="Z9" s="31"/>
    </row>
    <row r="10" ht="12.75" customHeight="1">
      <c r="A10" s="18"/>
      <c r="B10" s="37" t="s">
        <v>95</v>
      </c>
      <c r="C10" s="30"/>
      <c r="D10" s="30">
        <f t="shared" ref="D10:Q10" si="1">SUM(D11:D13)</f>
        <v>23.523</v>
      </c>
      <c r="E10" s="30">
        <f t="shared" si="1"/>
        <v>24.942</v>
      </c>
      <c r="F10" s="30">
        <f t="shared" si="1"/>
        <v>4.635</v>
      </c>
      <c r="G10" s="34">
        <f t="shared" si="1"/>
        <v>-1.11</v>
      </c>
      <c r="H10" s="30">
        <f t="shared" si="1"/>
        <v>2.645949725</v>
      </c>
      <c r="I10" s="30">
        <f t="shared" si="1"/>
        <v>2.730863136</v>
      </c>
      <c r="J10" s="30">
        <f t="shared" si="1"/>
        <v>3.840771415</v>
      </c>
      <c r="K10" s="30">
        <f t="shared" si="1"/>
        <v>4.512407533</v>
      </c>
      <c r="L10" s="30">
        <f t="shared" si="1"/>
        <v>5.50409347</v>
      </c>
      <c r="M10" s="30">
        <f t="shared" si="1"/>
        <v>5.100522749</v>
      </c>
      <c r="N10" s="30">
        <f t="shared" si="1"/>
        <v>4.358633924</v>
      </c>
      <c r="O10" s="30">
        <f t="shared" si="1"/>
        <v>3.438969023</v>
      </c>
      <c r="P10" s="30">
        <f t="shared" si="1"/>
        <v>2.571669469</v>
      </c>
      <c r="Q10" s="30">
        <f t="shared" si="1"/>
        <v>1.400625897</v>
      </c>
      <c r="R10" s="31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18"/>
      <c r="B11" s="36" t="s">
        <v>96</v>
      </c>
      <c r="C11" s="31"/>
      <c r="D11" s="31">
        <f>-'Balance Sheet'!D11+'Balance Sheet'!C11</f>
        <v>5.848</v>
      </c>
      <c r="E11" s="31">
        <f>-'Balance Sheet'!E11+'Balance Sheet'!D11</f>
        <v>5.535</v>
      </c>
      <c r="F11" s="31">
        <f>-'Balance Sheet'!F11+'Balance Sheet'!E11</f>
        <v>6.633</v>
      </c>
      <c r="G11" s="46">
        <f>-'Balance Sheet'!G11+'Balance Sheet'!F11</f>
        <v>-0.694</v>
      </c>
      <c r="H11" s="31">
        <f>-'Balance Sheet'!I11+'Balance Sheet'!G11</f>
        <v>-1.828759581</v>
      </c>
      <c r="I11" s="31">
        <f>-'Balance Sheet'!J11+'Balance Sheet'!I11</f>
        <v>-1.190531596</v>
      </c>
      <c r="J11" s="31">
        <f>-'Balance Sheet'!K11+'Balance Sheet'!J11</f>
        <v>-1.674400912</v>
      </c>
      <c r="K11" s="31">
        <f>-'Balance Sheet'!L11+'Balance Sheet'!K11</f>
        <v>-1.967203583</v>
      </c>
      <c r="L11" s="31">
        <f>-'Balance Sheet'!M11+'Balance Sheet'!L11</f>
        <v>-2.399533356</v>
      </c>
      <c r="M11" s="31">
        <f>-'Balance Sheet'!N11+'Balance Sheet'!M11</f>
        <v>-2.223594955</v>
      </c>
      <c r="N11" s="31">
        <f>-'Balance Sheet'!O11+'Balance Sheet'!N11</f>
        <v>-1.900165313</v>
      </c>
      <c r="O11" s="31">
        <f>-'Balance Sheet'!P11+'Balance Sheet'!O11</f>
        <v>-1.499233421</v>
      </c>
      <c r="P11" s="31">
        <f>-'Balance Sheet'!Q11+'Balance Sheet'!P11</f>
        <v>-1.121130429</v>
      </c>
      <c r="Q11" s="31">
        <f>-'Balance Sheet'!R11+'Balance Sheet'!Q11</f>
        <v>-0.6106089182</v>
      </c>
      <c r="R11" s="31"/>
      <c r="S11" s="31"/>
      <c r="T11" s="31"/>
      <c r="U11" s="31"/>
      <c r="V11" s="31"/>
      <c r="W11" s="31"/>
      <c r="X11" s="31"/>
      <c r="Y11" s="31"/>
      <c r="Z11" s="31"/>
    </row>
    <row r="12" ht="12.75" customHeight="1">
      <c r="A12" s="18"/>
      <c r="B12" s="36" t="s">
        <v>97</v>
      </c>
      <c r="C12" s="31"/>
      <c r="D12" s="31">
        <f>+'Balance Sheet'!D26-'Balance Sheet'!C26</f>
        <v>9.568</v>
      </c>
      <c r="E12" s="31">
        <f>+'Balance Sheet'!E26-'Balance Sheet'!D26</f>
        <v>16.281</v>
      </c>
      <c r="F12" s="31">
        <f>+'Balance Sheet'!F26-'Balance Sheet'!E26</f>
        <v>1.025</v>
      </c>
      <c r="G12" s="46">
        <f>+'Balance Sheet'!G26-'Balance Sheet'!F26</f>
        <v>3.47</v>
      </c>
      <c r="H12" s="31">
        <f>+'Balance Sheet'!I26-'Balance Sheet'!G26</f>
        <v>5.168024553</v>
      </c>
      <c r="I12" s="31">
        <f>+'Balance Sheet'!J26-'Balance Sheet'!I26</f>
        <v>5.664236835</v>
      </c>
      <c r="J12" s="31">
        <f>+'Balance Sheet'!K26-'Balance Sheet'!J26</f>
        <v>7.966360027</v>
      </c>
      <c r="K12" s="31">
        <f>+'Balance Sheet'!L26-'Balance Sheet'!K26</f>
        <v>9.359438278</v>
      </c>
      <c r="L12" s="31">
        <f>+'Balance Sheet'!M26-'Balance Sheet'!L26</f>
        <v>11.41634986</v>
      </c>
      <c r="M12" s="31">
        <f>+'Balance Sheet'!N26-'Balance Sheet'!M26</f>
        <v>10.57928113</v>
      </c>
      <c r="N12" s="31">
        <f>+'Balance Sheet'!O26-'Balance Sheet'!N26</f>
        <v>9.040487787</v>
      </c>
      <c r="O12" s="31">
        <f>+'Balance Sheet'!P26-'Balance Sheet'!O26</f>
        <v>7.132959086</v>
      </c>
      <c r="P12" s="31">
        <f>+'Balance Sheet'!Q26-'Balance Sheet'!P26</f>
        <v>5.334044297</v>
      </c>
      <c r="Q12" s="31">
        <f>+'Balance Sheet'!R26-'Balance Sheet'!Q26</f>
        <v>2.905116955</v>
      </c>
      <c r="R12" s="31"/>
      <c r="S12" s="31"/>
      <c r="T12" s="31"/>
      <c r="U12" s="31"/>
      <c r="V12" s="31"/>
      <c r="W12" s="31"/>
      <c r="X12" s="31"/>
      <c r="Y12" s="31"/>
      <c r="Z12" s="31"/>
    </row>
    <row r="13" ht="12.75" customHeight="1">
      <c r="A13" s="18"/>
      <c r="B13" s="36" t="s">
        <v>98</v>
      </c>
      <c r="C13" s="32"/>
      <c r="D13" s="31">
        <f>+'Balance Sheet'!C12-'Balance Sheet'!D12</f>
        <v>8.107</v>
      </c>
      <c r="E13" s="31">
        <f>+'Balance Sheet'!D12-'Balance Sheet'!E12</f>
        <v>3.126</v>
      </c>
      <c r="F13" s="31">
        <f>+'Balance Sheet'!E12-'Balance Sheet'!F12</f>
        <v>-3.023</v>
      </c>
      <c r="G13" s="46">
        <f>+'Balance Sheet'!F12-'Balance Sheet'!G12</f>
        <v>-3.886</v>
      </c>
      <c r="H13" s="31">
        <f>+'Balance Sheet'!G12-'Balance Sheet'!I12</f>
        <v>-0.6933152472</v>
      </c>
      <c r="I13" s="31">
        <f>+'Balance Sheet'!I12-'Balance Sheet'!J12</f>
        <v>-1.742842103</v>
      </c>
      <c r="J13" s="31">
        <f>+'Balance Sheet'!J12-'Balance Sheet'!K12</f>
        <v>-2.451187701</v>
      </c>
      <c r="K13" s="31">
        <f>+'Balance Sheet'!K12-'Balance Sheet'!L12</f>
        <v>-2.879827162</v>
      </c>
      <c r="L13" s="31">
        <f>+'Balance Sheet'!L12-'Balance Sheet'!M12</f>
        <v>-3.512723034</v>
      </c>
      <c r="M13" s="31">
        <f>+'Balance Sheet'!M12-'Balance Sheet'!N12</f>
        <v>-3.255163424</v>
      </c>
      <c r="N13" s="31">
        <f>+'Balance Sheet'!N12-'Balance Sheet'!O12</f>
        <v>-2.78168855</v>
      </c>
      <c r="O13" s="31">
        <f>+'Balance Sheet'!O12-'Balance Sheet'!P12</f>
        <v>-2.194756642</v>
      </c>
      <c r="P13" s="31">
        <f>+'Balance Sheet'!P12-'Balance Sheet'!Q12</f>
        <v>-1.641244399</v>
      </c>
      <c r="Q13" s="31">
        <f>+'Balance Sheet'!Q12-'Balance Sheet'!R12</f>
        <v>-0.8938821401</v>
      </c>
      <c r="R13" s="31"/>
      <c r="S13" s="31"/>
      <c r="T13" s="31"/>
      <c r="U13" s="31"/>
      <c r="V13" s="31"/>
      <c r="W13" s="31"/>
      <c r="X13" s="31"/>
      <c r="Y13" s="31"/>
      <c r="Z13" s="31"/>
    </row>
    <row r="14" ht="12.75" customHeight="1">
      <c r="A14" s="18"/>
      <c r="B14" s="37"/>
      <c r="C14" s="28"/>
      <c r="D14" s="28"/>
      <c r="E14" s="28"/>
      <c r="F14" s="28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1"/>
      <c r="S14" s="31"/>
      <c r="T14" s="31"/>
      <c r="U14" s="31"/>
      <c r="V14" s="31"/>
      <c r="W14" s="31"/>
      <c r="X14" s="31"/>
      <c r="Y14" s="31"/>
      <c r="Z14" s="31"/>
    </row>
    <row r="15" ht="12.75" customHeight="1">
      <c r="A15" s="16"/>
      <c r="B15" s="37" t="s">
        <v>99</v>
      </c>
      <c r="C15" s="30"/>
      <c r="D15" s="30">
        <f t="shared" ref="D15:Q15" si="2">-D7</f>
        <v>-3</v>
      </c>
      <c r="E15" s="30">
        <f t="shared" si="2"/>
        <v>-2.7</v>
      </c>
      <c r="F15" s="30">
        <f t="shared" si="2"/>
        <v>-2.4</v>
      </c>
      <c r="G15" s="34">
        <f t="shared" si="2"/>
        <v>-2.1</v>
      </c>
      <c r="H15" s="30">
        <f t="shared" si="2"/>
        <v>-12.92478</v>
      </c>
      <c r="I15" s="30">
        <f t="shared" si="2"/>
        <v>-12.92478</v>
      </c>
      <c r="J15" s="30">
        <f t="shared" si="2"/>
        <v>-12.92478</v>
      </c>
      <c r="K15" s="30">
        <f t="shared" si="2"/>
        <v>-12.92478</v>
      </c>
      <c r="L15" s="30">
        <f t="shared" si="2"/>
        <v>-12.92478</v>
      </c>
      <c r="M15" s="30">
        <f t="shared" si="2"/>
        <v>-12.92478</v>
      </c>
      <c r="N15" s="30">
        <f t="shared" si="2"/>
        <v>-12.92478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16"/>
      <c r="B16" s="37" t="s">
        <v>100</v>
      </c>
      <c r="C16" s="30"/>
      <c r="D16" s="30">
        <f>+'Income Statement'!D97</f>
        <v>0</v>
      </c>
      <c r="E16" s="30">
        <f>+'Income Statement'!E97</f>
        <v>0</v>
      </c>
      <c r="F16" s="30">
        <f>+'Income Statement'!F97</f>
        <v>0</v>
      </c>
      <c r="G16" s="34">
        <f>+'Income Statement'!G97</f>
        <v>0</v>
      </c>
      <c r="H16" s="30">
        <f>+'Income Statement'!H97</f>
        <v>0</v>
      </c>
      <c r="I16" s="30">
        <f>+'Income Statement'!I97</f>
        <v>0</v>
      </c>
      <c r="J16" s="30">
        <f>+'Income Statement'!J97</f>
        <v>0</v>
      </c>
      <c r="K16" s="30">
        <f>+'Income Statement'!K97</f>
        <v>0</v>
      </c>
      <c r="L16" s="30">
        <f>+'Income Statement'!L97</f>
        <v>0</v>
      </c>
      <c r="M16" s="30">
        <f>+'Income Statement'!M97</f>
        <v>0</v>
      </c>
      <c r="N16" s="30">
        <f>+'Income Statement'!N97</f>
        <v>0</v>
      </c>
      <c r="O16" s="30">
        <f>+'Income Statement'!O97</f>
        <v>0</v>
      </c>
      <c r="P16" s="30">
        <f>+'Income Statement'!P97</f>
        <v>0</v>
      </c>
      <c r="Q16" s="30">
        <f>+'Income Statement'!Q97</f>
        <v>0</v>
      </c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8"/>
      <c r="B17" s="94" t="s">
        <v>101</v>
      </c>
      <c r="C17" s="95"/>
      <c r="D17" s="96">
        <f t="shared" ref="D17:Q17" si="3">+D6+D7+D8+D10+D15+D16</f>
        <v>62.578</v>
      </c>
      <c r="E17" s="96">
        <f t="shared" si="3"/>
        <v>45.319</v>
      </c>
      <c r="F17" s="96">
        <f t="shared" si="3"/>
        <v>33.331</v>
      </c>
      <c r="G17" s="97">
        <f t="shared" si="3"/>
        <v>35.956</v>
      </c>
      <c r="H17" s="96">
        <f t="shared" si="3"/>
        <v>29.34541888</v>
      </c>
      <c r="I17" s="96">
        <f t="shared" si="3"/>
        <v>32.49397919</v>
      </c>
      <c r="J17" s="96">
        <f t="shared" si="3"/>
        <v>37.87214304</v>
      </c>
      <c r="K17" s="96">
        <f t="shared" si="3"/>
        <v>43.56445275</v>
      </c>
      <c r="L17" s="96">
        <f t="shared" si="3"/>
        <v>50.68161047</v>
      </c>
      <c r="M17" s="96">
        <f t="shared" si="3"/>
        <v>51.95017972</v>
      </c>
      <c r="N17" s="96">
        <f t="shared" si="3"/>
        <v>55.74884057</v>
      </c>
      <c r="O17" s="96">
        <f t="shared" si="3"/>
        <v>71.38368795</v>
      </c>
      <c r="P17" s="96">
        <f t="shared" si="3"/>
        <v>73.28202549</v>
      </c>
      <c r="Q17" s="96">
        <f t="shared" si="3"/>
        <v>73.69754483</v>
      </c>
      <c r="R17" s="31"/>
      <c r="S17" s="31"/>
      <c r="T17" s="31"/>
      <c r="U17" s="31"/>
      <c r="V17" s="31"/>
      <c r="W17" s="31"/>
      <c r="X17" s="31"/>
      <c r="Y17" s="31"/>
      <c r="Z17" s="31"/>
    </row>
    <row r="18" ht="12.75" customHeight="1">
      <c r="A18" s="18"/>
      <c r="B18" s="36"/>
      <c r="C18" s="32"/>
      <c r="D18" s="30"/>
      <c r="E18" s="30"/>
      <c r="F18" s="30"/>
      <c r="G18" s="3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31"/>
      <c r="T18" s="31"/>
      <c r="U18" s="31"/>
      <c r="V18" s="31"/>
      <c r="W18" s="31"/>
      <c r="X18" s="31"/>
      <c r="Y18" s="31"/>
      <c r="Z18" s="31"/>
    </row>
    <row r="19" ht="12.75" customHeight="1">
      <c r="A19" s="18"/>
      <c r="B19" s="37" t="s">
        <v>49</v>
      </c>
      <c r="C19" s="32"/>
      <c r="D19" s="30">
        <f>-'PPE Schedule'!D6</f>
        <v>-3.907</v>
      </c>
      <c r="E19" s="30">
        <f>-'PPE Schedule'!E6</f>
        <v>-2.735</v>
      </c>
      <c r="F19" s="30">
        <f>-'PPE Schedule'!F6</f>
        <v>-2.776</v>
      </c>
      <c r="G19" s="34">
        <f>-'PPE Schedule'!G6</f>
        <v>-2.186</v>
      </c>
      <c r="H19" s="30">
        <f>-'PPE Schedule'!H6</f>
        <v>-6.172179623</v>
      </c>
      <c r="I19" s="30">
        <f>-'PPE Schedule'!I6</f>
        <v>-6.620163685</v>
      </c>
      <c r="J19" s="30">
        <f>-'PPE Schedule'!J6</f>
        <v>-7.250222495</v>
      </c>
      <c r="K19" s="30">
        <f>-'PPE Schedule'!K6</f>
        <v>-7.990459759</v>
      </c>
      <c r="L19" s="30">
        <f>-'PPE Schedule'!L6</f>
        <v>-8.893378004</v>
      </c>
      <c r="M19" s="30">
        <f>-'PPE Schedule'!M6</f>
        <v>-4.865046273</v>
      </c>
      <c r="N19" s="30">
        <f>-'PPE Schedule'!N6</f>
        <v>-5.22255202</v>
      </c>
      <c r="O19" s="30">
        <f>-'PPE Schedule'!O6</f>
        <v>-5.504624616</v>
      </c>
      <c r="P19" s="30">
        <f>-'PPE Schedule'!P6</f>
        <v>-5.715559196</v>
      </c>
      <c r="Q19" s="30">
        <f>-'PPE Schedule'!Q6</f>
        <v>-5.830441935</v>
      </c>
      <c r="R19" s="31"/>
      <c r="S19" s="31"/>
      <c r="T19" s="31"/>
      <c r="U19" s="31"/>
      <c r="V19" s="31"/>
      <c r="W19" s="31"/>
      <c r="X19" s="31"/>
      <c r="Y19" s="31"/>
      <c r="Z19" s="31"/>
    </row>
    <row r="20" ht="12.75" customHeight="1">
      <c r="A20" s="16"/>
      <c r="B20" s="94" t="s">
        <v>102</v>
      </c>
      <c r="C20" s="98"/>
      <c r="D20" s="96">
        <f t="shared" ref="D20:Q20" si="4">+D19</f>
        <v>-3.907</v>
      </c>
      <c r="E20" s="96">
        <f t="shared" si="4"/>
        <v>-2.735</v>
      </c>
      <c r="F20" s="96">
        <f t="shared" si="4"/>
        <v>-2.776</v>
      </c>
      <c r="G20" s="97">
        <f t="shared" si="4"/>
        <v>-2.186</v>
      </c>
      <c r="H20" s="96">
        <f t="shared" si="4"/>
        <v>-6.172179623</v>
      </c>
      <c r="I20" s="96">
        <f t="shared" si="4"/>
        <v>-6.620163685</v>
      </c>
      <c r="J20" s="96">
        <f t="shared" si="4"/>
        <v>-7.250222495</v>
      </c>
      <c r="K20" s="96">
        <f t="shared" si="4"/>
        <v>-7.990459759</v>
      </c>
      <c r="L20" s="96">
        <f t="shared" si="4"/>
        <v>-8.893378004</v>
      </c>
      <c r="M20" s="96">
        <f t="shared" si="4"/>
        <v>-4.865046273</v>
      </c>
      <c r="N20" s="96">
        <f t="shared" si="4"/>
        <v>-5.22255202</v>
      </c>
      <c r="O20" s="96">
        <f t="shared" si="4"/>
        <v>-5.504624616</v>
      </c>
      <c r="P20" s="96">
        <f t="shared" si="4"/>
        <v>-5.715559196</v>
      </c>
      <c r="Q20" s="96">
        <f t="shared" si="4"/>
        <v>-5.830441935</v>
      </c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18"/>
      <c r="B21" s="37"/>
      <c r="C21" s="32"/>
      <c r="D21" s="32"/>
      <c r="E21" s="32"/>
      <c r="F21" s="32"/>
      <c r="G21" s="33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1"/>
      <c r="S21" s="31"/>
      <c r="T21" s="31"/>
      <c r="U21" s="31"/>
      <c r="V21" s="31"/>
      <c r="W21" s="31"/>
      <c r="X21" s="31"/>
      <c r="Y21" s="31"/>
      <c r="Z21" s="31"/>
    </row>
    <row r="22" ht="12.75" customHeight="1">
      <c r="A22" s="16"/>
      <c r="B22" s="37" t="s">
        <v>103</v>
      </c>
      <c r="C22" s="30"/>
      <c r="D22" s="30">
        <f>'Debt Schedule'!D7</f>
        <v>-5</v>
      </c>
      <c r="E22" s="30">
        <f>'Debt Schedule'!E7</f>
        <v>-5</v>
      </c>
      <c r="F22" s="30">
        <f>'Debt Schedule'!F7</f>
        <v>-5</v>
      </c>
      <c r="G22" s="34">
        <f>'Debt Schedule'!G7</f>
        <v>-5</v>
      </c>
      <c r="H22" s="30">
        <f>'LBO Modelling'!C57</f>
        <v>0</v>
      </c>
      <c r="I22" s="30">
        <f>'LBO Modelling'!D57</f>
        <v>0</v>
      </c>
      <c r="J22" s="30">
        <f>'LBO Modelling'!E57</f>
        <v>0</v>
      </c>
      <c r="K22" s="30">
        <f>'LBO Modelling'!F57</f>
        <v>0</v>
      </c>
      <c r="L22" s="30">
        <f>'LBO Modelling'!G57</f>
        <v>0</v>
      </c>
      <c r="M22" s="30">
        <f>'LBO Modelling'!H57</f>
        <v>0</v>
      </c>
      <c r="N22" s="30">
        <f>'LBO Modelling'!I57</f>
        <v>-176.247</v>
      </c>
      <c r="O22" s="30">
        <f>'LBO Modelling'!J57</f>
        <v>-58.749</v>
      </c>
      <c r="P22" s="30">
        <f>'LBO Modelling'!K57</f>
        <v>0</v>
      </c>
      <c r="Q22" s="30">
        <f>'LBO Modelling'!L57</f>
        <v>0</v>
      </c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16"/>
      <c r="B23" s="94" t="s">
        <v>104</v>
      </c>
      <c r="C23" s="98"/>
      <c r="D23" s="96">
        <f t="shared" ref="D23:Q23" si="5">+D22</f>
        <v>-5</v>
      </c>
      <c r="E23" s="96">
        <f t="shared" si="5"/>
        <v>-5</v>
      </c>
      <c r="F23" s="96">
        <f t="shared" si="5"/>
        <v>-5</v>
      </c>
      <c r="G23" s="97">
        <f t="shared" si="5"/>
        <v>-5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0</v>
      </c>
      <c r="L23" s="96">
        <f t="shared" si="5"/>
        <v>0</v>
      </c>
      <c r="M23" s="96">
        <f t="shared" si="5"/>
        <v>0</v>
      </c>
      <c r="N23" s="96">
        <f t="shared" si="5"/>
        <v>-176.247</v>
      </c>
      <c r="O23" s="96">
        <f t="shared" si="5"/>
        <v>-58.749</v>
      </c>
      <c r="P23" s="96">
        <f t="shared" si="5"/>
        <v>0</v>
      </c>
      <c r="Q23" s="96">
        <f t="shared" si="5"/>
        <v>0</v>
      </c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16"/>
      <c r="B24" s="37"/>
      <c r="C24" s="30"/>
      <c r="D24" s="30"/>
      <c r="E24" s="30"/>
      <c r="F24" s="30"/>
      <c r="G24" s="3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6"/>
      <c r="B25" s="99" t="s">
        <v>105</v>
      </c>
      <c r="C25" s="83"/>
      <c r="D25" s="100">
        <f t="shared" ref="D25:Q25" si="6">+D17+D20+D23</f>
        <v>53.671</v>
      </c>
      <c r="E25" s="100">
        <f t="shared" si="6"/>
        <v>37.584</v>
      </c>
      <c r="F25" s="100">
        <f t="shared" si="6"/>
        <v>25.555</v>
      </c>
      <c r="G25" s="101">
        <f t="shared" si="6"/>
        <v>28.77</v>
      </c>
      <c r="H25" s="100">
        <f t="shared" si="6"/>
        <v>23.17323926</v>
      </c>
      <c r="I25" s="100">
        <f t="shared" si="6"/>
        <v>25.8738155</v>
      </c>
      <c r="J25" s="100">
        <f t="shared" si="6"/>
        <v>30.62192055</v>
      </c>
      <c r="K25" s="100">
        <f t="shared" si="6"/>
        <v>35.57399299</v>
      </c>
      <c r="L25" s="100">
        <f t="shared" si="6"/>
        <v>41.78823246</v>
      </c>
      <c r="M25" s="100">
        <f t="shared" si="6"/>
        <v>47.08513345</v>
      </c>
      <c r="N25" s="100">
        <f t="shared" si="6"/>
        <v>-125.7207114</v>
      </c>
      <c r="O25" s="100">
        <f t="shared" si="6"/>
        <v>7.130063334</v>
      </c>
      <c r="P25" s="100">
        <f t="shared" si="6"/>
        <v>67.56646629</v>
      </c>
      <c r="Q25" s="100">
        <f t="shared" si="6"/>
        <v>67.8671029</v>
      </c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18"/>
      <c r="B26" s="37" t="s">
        <v>106</v>
      </c>
      <c r="C26" s="32"/>
      <c r="D26" s="30">
        <f>+'Balance Sheet'!C13</f>
        <v>68.045</v>
      </c>
      <c r="E26" s="30">
        <f t="shared" ref="E26:G26" si="7">+D27</f>
        <v>121.716</v>
      </c>
      <c r="F26" s="30">
        <f t="shared" si="7"/>
        <v>159.3</v>
      </c>
      <c r="G26" s="34">
        <f t="shared" si="7"/>
        <v>184.855</v>
      </c>
      <c r="H26" s="30">
        <f>+'Balance Sheet'!H13</f>
        <v>0</v>
      </c>
      <c r="I26" s="30">
        <f t="shared" ref="I26:Q26" si="8">+H27</f>
        <v>23.17323926</v>
      </c>
      <c r="J26" s="30">
        <f t="shared" si="8"/>
        <v>49.04705476</v>
      </c>
      <c r="K26" s="30">
        <f t="shared" si="8"/>
        <v>79.66897531</v>
      </c>
      <c r="L26" s="30">
        <f t="shared" si="8"/>
        <v>115.2429683</v>
      </c>
      <c r="M26" s="30">
        <f t="shared" si="8"/>
        <v>157.0312008</v>
      </c>
      <c r="N26" s="30">
        <f t="shared" si="8"/>
        <v>204.1163342</v>
      </c>
      <c r="O26" s="30">
        <f t="shared" si="8"/>
        <v>78.39562275</v>
      </c>
      <c r="P26" s="30">
        <f t="shared" si="8"/>
        <v>85.52568609</v>
      </c>
      <c r="Q26" s="30">
        <f t="shared" si="8"/>
        <v>153.0921524</v>
      </c>
      <c r="R26" s="31"/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18"/>
      <c r="B27" s="102" t="s">
        <v>107</v>
      </c>
      <c r="C27" s="103"/>
      <c r="D27" s="104">
        <f t="shared" ref="D27:Q27" si="9">D25+D26</f>
        <v>121.716</v>
      </c>
      <c r="E27" s="104">
        <f t="shared" si="9"/>
        <v>159.3</v>
      </c>
      <c r="F27" s="104">
        <f t="shared" si="9"/>
        <v>184.855</v>
      </c>
      <c r="G27" s="105">
        <f t="shared" si="9"/>
        <v>213.625</v>
      </c>
      <c r="H27" s="104">
        <f t="shared" si="9"/>
        <v>23.17323926</v>
      </c>
      <c r="I27" s="104">
        <f t="shared" si="9"/>
        <v>49.04705476</v>
      </c>
      <c r="J27" s="104">
        <f t="shared" si="9"/>
        <v>79.66897531</v>
      </c>
      <c r="K27" s="104">
        <f t="shared" si="9"/>
        <v>115.2429683</v>
      </c>
      <c r="L27" s="104">
        <f t="shared" si="9"/>
        <v>157.0312008</v>
      </c>
      <c r="M27" s="104">
        <f t="shared" si="9"/>
        <v>204.1163342</v>
      </c>
      <c r="N27" s="104">
        <f t="shared" si="9"/>
        <v>78.39562275</v>
      </c>
      <c r="O27" s="104">
        <f t="shared" si="9"/>
        <v>85.52568609</v>
      </c>
      <c r="P27" s="104">
        <f t="shared" si="9"/>
        <v>153.0921524</v>
      </c>
      <c r="Q27" s="104">
        <f t="shared" si="9"/>
        <v>220.9592553</v>
      </c>
      <c r="R27" s="31"/>
      <c r="S27" s="31"/>
      <c r="T27" s="31"/>
      <c r="U27" s="31"/>
      <c r="V27" s="31"/>
      <c r="W27" s="31"/>
      <c r="X27" s="31"/>
      <c r="Y27" s="31"/>
      <c r="Z27" s="31"/>
    </row>
    <row r="28" ht="12.75" customHeight="1">
      <c r="A28" s="16"/>
      <c r="B28" s="3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16"/>
      <c r="B29" s="37"/>
      <c r="C29" s="28"/>
      <c r="D29" s="28"/>
      <c r="E29" s="28"/>
      <c r="F29" s="28"/>
      <c r="G29" s="28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18"/>
      <c r="B30" s="36"/>
      <c r="C30" s="31"/>
      <c r="D30" s="32"/>
      <c r="E30" s="32"/>
      <c r="F30" s="32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2.75" customHeight="1">
      <c r="A31" s="16"/>
      <c r="B31" s="3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6"/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16"/>
      <c r="B33" s="37"/>
      <c r="C33" s="30"/>
      <c r="D33" s="32"/>
      <c r="E33" s="32"/>
      <c r="F33" s="32"/>
      <c r="G33" s="32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16"/>
      <c r="B34" s="3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6"/>
      <c r="B35" s="3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18"/>
      <c r="B36" s="37"/>
      <c r="C36" s="30"/>
      <c r="D36" s="32"/>
      <c r="E36" s="32"/>
      <c r="F36" s="32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75" customHeight="1">
      <c r="A37" s="18"/>
      <c r="B37" s="36"/>
      <c r="C37" s="32"/>
      <c r="D37" s="32"/>
      <c r="E37" s="32"/>
      <c r="F37" s="32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16"/>
      <c r="B38" s="37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3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36"/>
      <c r="C40" s="32"/>
      <c r="D40" s="32"/>
      <c r="E40" s="32"/>
      <c r="F40" s="32"/>
      <c r="G40" s="32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3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3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6"/>
      <c r="B43" s="36"/>
      <c r="C43" s="32"/>
      <c r="D43" s="32"/>
      <c r="E43" s="32"/>
      <c r="F43" s="32"/>
      <c r="G43" s="32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6"/>
      <c r="B44" s="3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16"/>
      <c r="B45" s="3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16"/>
      <c r="B46" s="3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18"/>
      <c r="B47" s="36"/>
      <c r="C47" s="32"/>
      <c r="D47" s="32"/>
      <c r="E47" s="32"/>
      <c r="F47" s="32"/>
      <c r="G47" s="32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18"/>
      <c r="B48" s="36"/>
      <c r="C48" s="32"/>
      <c r="D48" s="32"/>
      <c r="E48" s="32"/>
      <c r="F48" s="32"/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18"/>
      <c r="B49" s="36"/>
      <c r="C49" s="31"/>
      <c r="D49" s="32"/>
      <c r="E49" s="3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75" customHeight="1">
      <c r="A50" s="16"/>
      <c r="B50" s="37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36"/>
      <c r="C51" s="32"/>
      <c r="D51" s="32"/>
      <c r="E51" s="32"/>
      <c r="F51" s="32"/>
      <c r="G51" s="3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37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37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36"/>
      <c r="C54" s="32"/>
      <c r="D54" s="32"/>
      <c r="E54" s="32"/>
      <c r="F54" s="32"/>
      <c r="G54" s="3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6"/>
      <c r="B55" s="37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16"/>
      <c r="B56" s="37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36"/>
      <c r="C57" s="30"/>
      <c r="D57" s="32"/>
      <c r="E57" s="32"/>
      <c r="F57" s="48"/>
      <c r="G57" s="48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6"/>
      <c r="B58" s="37"/>
      <c r="C58" s="30"/>
      <c r="D58" s="30"/>
      <c r="E58" s="32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18"/>
      <c r="B59" s="36"/>
      <c r="C59" s="32"/>
      <c r="D59" s="32"/>
      <c r="E59" s="32"/>
      <c r="F59" s="32"/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75" customHeight="1">
      <c r="A60" s="16"/>
      <c r="B60" s="1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6"/>
      <c r="B62" s="1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18"/>
      <c r="B63" s="18"/>
      <c r="C63" s="32"/>
      <c r="D63" s="32"/>
      <c r="E63" s="32"/>
      <c r="F63" s="32"/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16"/>
      <c r="B64" s="16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6"/>
      <c r="B65" s="16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16"/>
      <c r="B66" s="18"/>
      <c r="C66" s="30"/>
      <c r="D66" s="32"/>
      <c r="E66" s="32"/>
      <c r="F66" s="32"/>
      <c r="G66" s="32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6"/>
      <c r="B68" s="16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18"/>
      <c r="B69" s="18"/>
      <c r="C69" s="32"/>
      <c r="D69" s="32"/>
      <c r="E69" s="32"/>
      <c r="F69" s="32"/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27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8"/>
      <c r="C72" s="32"/>
      <c r="D72" s="32"/>
      <c r="E72" s="32"/>
      <c r="F72" s="32"/>
      <c r="G72" s="32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16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18"/>
      <c r="C75" s="32"/>
      <c r="D75" s="32"/>
      <c r="E75" s="32"/>
      <c r="F75" s="32"/>
      <c r="G75" s="32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1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6"/>
      <c r="B77" s="16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16"/>
      <c r="B78" s="18"/>
      <c r="C78" s="32"/>
      <c r="D78" s="32"/>
      <c r="E78" s="32"/>
      <c r="F78" s="32"/>
      <c r="G78" s="32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6"/>
      <c r="B80" s="27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18"/>
      <c r="B81" s="18"/>
      <c r="C81" s="32"/>
      <c r="D81" s="32"/>
      <c r="E81" s="32"/>
      <c r="F81" s="32"/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16"/>
      <c r="B82" s="1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6"/>
      <c r="B84" s="18"/>
      <c r="C84" s="32"/>
      <c r="D84" s="32"/>
      <c r="E84" s="32"/>
      <c r="F84" s="32"/>
      <c r="G84" s="32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18"/>
      <c r="B85" s="18"/>
      <c r="C85" s="32"/>
      <c r="D85" s="32"/>
      <c r="E85" s="32"/>
      <c r="F85" s="32"/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16"/>
      <c r="B86" s="1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6"/>
      <c r="B87" s="1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18"/>
      <c r="B88" s="18"/>
      <c r="C88" s="32"/>
      <c r="D88" s="32"/>
      <c r="E88" s="32"/>
      <c r="F88" s="32"/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16"/>
      <c r="B89" s="16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27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18"/>
      <c r="C91" s="32"/>
      <c r="D91" s="32"/>
      <c r="E91" s="32"/>
      <c r="F91" s="32"/>
      <c r="G91" s="32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16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27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16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27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18"/>
      <c r="C96" s="32"/>
      <c r="D96" s="32"/>
      <c r="E96" s="32"/>
      <c r="F96" s="32"/>
      <c r="G96" s="32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1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1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27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4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6.0"/>
    <col customWidth="1" min="3" max="3" width="8.13"/>
    <col customWidth="1" min="4" max="5" width="8.25"/>
    <col customWidth="1" min="6" max="17" width="8.13"/>
    <col customWidth="1" min="18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06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107" t="str">
        <f>'Income Statement'!B4</f>
        <v>(YE 31-Dec, USDm)</v>
      </c>
      <c r="C4" s="20">
        <f>'Income Statement'!C4</f>
        <v>2007</v>
      </c>
      <c r="D4" s="20">
        <f>'Income Statement'!D4</f>
        <v>2008</v>
      </c>
      <c r="E4" s="20">
        <f>'Income Statement'!E4</f>
        <v>2009</v>
      </c>
      <c r="F4" s="20">
        <f>'Income Statement'!F4</f>
        <v>2010</v>
      </c>
      <c r="G4" s="20">
        <f>'Income Statement'!G4</f>
        <v>2011</v>
      </c>
      <c r="H4" s="23">
        <f>'Income Statement'!H4</f>
        <v>2012</v>
      </c>
      <c r="I4" s="23">
        <f>'Income Statement'!I4</f>
        <v>2013</v>
      </c>
      <c r="J4" s="23">
        <f>'Income Statement'!J4</f>
        <v>2014</v>
      </c>
      <c r="K4" s="23">
        <f>'Income Statement'!K4</f>
        <v>2015</v>
      </c>
      <c r="L4" s="23">
        <f>'Income Statement'!L4</f>
        <v>2016</v>
      </c>
      <c r="M4" s="23">
        <f>'Income Statement'!M4</f>
        <v>2017</v>
      </c>
      <c r="N4" s="23">
        <f>'Income Statement'!N4</f>
        <v>2018</v>
      </c>
      <c r="O4" s="23">
        <f>'Income Statement'!O4</f>
        <v>2019</v>
      </c>
      <c r="P4" s="23">
        <f>'Income Statement'!P4</f>
        <v>2020</v>
      </c>
      <c r="Q4" s="23">
        <f>'Income Statement'!Q4</f>
        <v>2021</v>
      </c>
      <c r="R4" s="16"/>
      <c r="S4" s="16"/>
      <c r="T4" s="16"/>
      <c r="U4" s="16"/>
      <c r="V4" s="16"/>
      <c r="W4" s="16"/>
      <c r="X4" s="16"/>
      <c r="Y4" s="16"/>
      <c r="Z4" s="16"/>
    </row>
    <row r="5" ht="12.75" customHeight="1">
      <c r="A5" s="16"/>
      <c r="B5" s="16" t="s">
        <v>109</v>
      </c>
      <c r="C5" s="30">
        <f>+C9-C8-C6</f>
        <v>5.915</v>
      </c>
      <c r="D5" s="30">
        <f t="shared" ref="D5:Q5" si="1">+C9</f>
        <v>6.5</v>
      </c>
      <c r="E5" s="30">
        <f t="shared" si="1"/>
        <v>7.802</v>
      </c>
      <c r="F5" s="30">
        <f t="shared" si="1"/>
        <v>9.17</v>
      </c>
      <c r="G5" s="30">
        <f t="shared" si="1"/>
        <v>10.558</v>
      </c>
      <c r="H5" s="30">
        <f t="shared" si="1"/>
        <v>11.287</v>
      </c>
      <c r="I5" s="30">
        <f t="shared" si="1"/>
        <v>13.17036184</v>
      </c>
      <c r="J5" s="30">
        <f t="shared" si="1"/>
        <v>15.00274804</v>
      </c>
      <c r="K5" s="30">
        <f t="shared" si="1"/>
        <v>16.80399385</v>
      </c>
      <c r="L5" s="30">
        <f t="shared" si="1"/>
        <v>18.56262605</v>
      </c>
      <c r="M5" s="30">
        <f t="shared" si="1"/>
        <v>20.26786822</v>
      </c>
      <c r="N5" s="30">
        <f t="shared" si="1"/>
        <v>21.06278919</v>
      </c>
      <c r="O5" s="30">
        <f t="shared" si="1"/>
        <v>21.76807262</v>
      </c>
      <c r="P5" s="30">
        <f t="shared" si="1"/>
        <v>22.35540045</v>
      </c>
      <c r="Q5" s="30">
        <f t="shared" si="1"/>
        <v>22.80320641</v>
      </c>
      <c r="R5" s="16"/>
      <c r="S5" s="16"/>
      <c r="T5" s="16"/>
      <c r="U5" s="16"/>
      <c r="V5" s="16"/>
      <c r="W5" s="16"/>
      <c r="X5" s="16"/>
      <c r="Y5" s="16"/>
      <c r="Z5" s="16"/>
    </row>
    <row r="6" ht="12.75" customHeight="1">
      <c r="A6" s="16"/>
      <c r="B6" s="37" t="s">
        <v>110</v>
      </c>
      <c r="C6" s="30">
        <f>-'Income Statement'!C86</f>
        <v>3.19</v>
      </c>
      <c r="D6" s="30">
        <f>-'Income Statement'!D86</f>
        <v>3.907</v>
      </c>
      <c r="E6" s="30">
        <f>-'Income Statement'!E86</f>
        <v>2.735</v>
      </c>
      <c r="F6" s="30">
        <f>-'Income Statement'!F86</f>
        <v>2.776</v>
      </c>
      <c r="G6" s="30">
        <f>-'Income Statement'!G86</f>
        <v>2.186</v>
      </c>
      <c r="H6" s="30">
        <f>-'Income Statement'!H86</f>
        <v>6.172179623</v>
      </c>
      <c r="I6" s="30">
        <f>-'Income Statement'!I86</f>
        <v>6.620163685</v>
      </c>
      <c r="J6" s="30">
        <f>-'Income Statement'!J86</f>
        <v>7.250222495</v>
      </c>
      <c r="K6" s="30">
        <f>-'Income Statement'!K86</f>
        <v>7.990459759</v>
      </c>
      <c r="L6" s="30">
        <f>-'Income Statement'!L86</f>
        <v>8.893378004</v>
      </c>
      <c r="M6" s="30">
        <f>-'Income Statement'!M86</f>
        <v>4.865046273</v>
      </c>
      <c r="N6" s="30">
        <f>-'Income Statement'!N86</f>
        <v>5.22255202</v>
      </c>
      <c r="O6" s="30">
        <f>-'Income Statement'!O86</f>
        <v>5.504624616</v>
      </c>
      <c r="P6" s="30">
        <f>-'Income Statement'!P86</f>
        <v>5.715559196</v>
      </c>
      <c r="Q6" s="30">
        <f>-'Income Statement'!Q86</f>
        <v>5.830441935</v>
      </c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18"/>
      <c r="B7" s="37" t="s">
        <v>111</v>
      </c>
      <c r="C7" s="31">
        <v>0.0</v>
      </c>
      <c r="D7" s="31">
        <v>0.0</v>
      </c>
      <c r="E7" s="31">
        <v>0.0</v>
      </c>
      <c r="F7" s="31">
        <v>0.0</v>
      </c>
      <c r="G7" s="31">
        <v>0.0</v>
      </c>
      <c r="H7" s="31">
        <v>0.0</v>
      </c>
      <c r="I7" s="31">
        <v>0.0</v>
      </c>
      <c r="J7" s="31">
        <v>0.0</v>
      </c>
      <c r="K7" s="31">
        <v>0.0</v>
      </c>
      <c r="L7" s="31">
        <v>0.0</v>
      </c>
      <c r="M7" s="31">
        <v>0.0</v>
      </c>
      <c r="N7" s="31">
        <v>0.0</v>
      </c>
      <c r="O7" s="31">
        <v>0.0</v>
      </c>
      <c r="P7" s="31">
        <v>0.0</v>
      </c>
      <c r="Q7" s="31">
        <v>0.0</v>
      </c>
      <c r="R7" s="31"/>
      <c r="S7" s="31"/>
      <c r="T7" s="31"/>
      <c r="U7" s="31"/>
      <c r="V7" s="31"/>
      <c r="W7" s="31"/>
      <c r="X7" s="31"/>
      <c r="Y7" s="31"/>
      <c r="Z7" s="31"/>
    </row>
    <row r="8" ht="12.75" customHeight="1">
      <c r="A8" s="16"/>
      <c r="B8" s="37" t="s">
        <v>112</v>
      </c>
      <c r="C8" s="30">
        <v>-2.6050000000000004</v>
      </c>
      <c r="D8" s="30">
        <f t="shared" ref="D8:G8" si="2">+(-D5-D6)+D9</f>
        <v>-2.605</v>
      </c>
      <c r="E8" s="30">
        <f t="shared" si="2"/>
        <v>-1.367</v>
      </c>
      <c r="F8" s="30">
        <f t="shared" si="2"/>
        <v>-1.388</v>
      </c>
      <c r="G8" s="30">
        <f t="shared" si="2"/>
        <v>-1.457</v>
      </c>
      <c r="H8" s="30">
        <f>+'Income Statement'!H82</f>
        <v>-4.288817787</v>
      </c>
      <c r="I8" s="30">
        <f>+'Income Statement'!I82</f>
        <v>-4.787777482</v>
      </c>
      <c r="J8" s="30">
        <f>+'Income Statement'!J82</f>
        <v>-5.448976688</v>
      </c>
      <c r="K8" s="30">
        <f>+'Income Statement'!K82</f>
        <v>-6.231827554</v>
      </c>
      <c r="L8" s="30">
        <f>+'Income Statement'!L82</f>
        <v>-7.188135831</v>
      </c>
      <c r="M8" s="30">
        <f>+'Income Statement'!M82</f>
        <v>-4.070125309</v>
      </c>
      <c r="N8" s="30">
        <f>+'Income Statement'!N82</f>
        <v>-4.517268588</v>
      </c>
      <c r="O8" s="30">
        <f>+'Income Statement'!O82</f>
        <v>-4.917296782</v>
      </c>
      <c r="P8" s="30">
        <f>+'Income Statement'!P82</f>
        <v>-5.267753238</v>
      </c>
      <c r="Q8" s="30">
        <f>+'Income Statement'!Q82</f>
        <v>-5.538919839</v>
      </c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16"/>
      <c r="B9" s="102" t="s">
        <v>113</v>
      </c>
      <c r="C9" s="104">
        <v>6.5</v>
      </c>
      <c r="D9" s="104">
        <v>7.802</v>
      </c>
      <c r="E9" s="104">
        <v>9.17</v>
      </c>
      <c r="F9" s="104">
        <v>10.558</v>
      </c>
      <c r="G9" s="104">
        <v>11.287</v>
      </c>
      <c r="H9" s="104">
        <f t="shared" ref="H9:Q9" si="3">+H5+H6+H7+H8</f>
        <v>13.17036184</v>
      </c>
      <c r="I9" s="104">
        <f t="shared" si="3"/>
        <v>15.00274804</v>
      </c>
      <c r="J9" s="104">
        <f t="shared" si="3"/>
        <v>16.80399385</v>
      </c>
      <c r="K9" s="104">
        <f t="shared" si="3"/>
        <v>18.56262605</v>
      </c>
      <c r="L9" s="104">
        <f t="shared" si="3"/>
        <v>20.26786822</v>
      </c>
      <c r="M9" s="104">
        <f t="shared" si="3"/>
        <v>21.06278919</v>
      </c>
      <c r="N9" s="104">
        <f t="shared" si="3"/>
        <v>21.76807262</v>
      </c>
      <c r="O9" s="104">
        <f t="shared" si="3"/>
        <v>22.35540045</v>
      </c>
      <c r="P9" s="104">
        <f t="shared" si="3"/>
        <v>22.80320641</v>
      </c>
      <c r="Q9" s="104">
        <f t="shared" si="3"/>
        <v>23.09472851</v>
      </c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18"/>
      <c r="B10" s="36"/>
      <c r="C10" s="32"/>
      <c r="D10" s="32"/>
      <c r="E10" s="32"/>
      <c r="F10" s="32"/>
      <c r="G10" s="3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18"/>
      <c r="B11" s="36"/>
      <c r="C11" s="32"/>
      <c r="D11" s="32"/>
      <c r="E11" s="32"/>
      <c r="F11" s="32"/>
      <c r="G11" s="32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2.75" customHeight="1">
      <c r="A12" s="16"/>
      <c r="B12" s="1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16"/>
      <c r="B13" s="1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16"/>
      <c r="B14" s="16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16"/>
      <c r="B15" s="1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16"/>
      <c r="B16" s="16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6"/>
      <c r="B17" s="16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16"/>
      <c r="B18" s="1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6"/>
      <c r="B19" s="16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16"/>
      <c r="B20" s="1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16"/>
      <c r="B21" s="1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16"/>
      <c r="B22" s="1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16"/>
      <c r="B23" s="1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16"/>
      <c r="B24" s="1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6"/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16"/>
      <c r="B26" s="1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16"/>
      <c r="B27" s="1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16"/>
      <c r="B28" s="1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16"/>
      <c r="B29" s="1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16"/>
      <c r="B30" s="1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16"/>
      <c r="B31" s="1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6"/>
      <c r="B32" s="1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16"/>
      <c r="B33" s="1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16"/>
      <c r="B34" s="1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6"/>
      <c r="B35" s="1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16"/>
      <c r="B36" s="1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16"/>
      <c r="B37" s="1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16"/>
      <c r="B38" s="16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1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6"/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6"/>
      <c r="B44" s="1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16"/>
      <c r="B45" s="1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16"/>
      <c r="B46" s="1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16"/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16"/>
      <c r="B48" s="1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16"/>
      <c r="B49" s="1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16"/>
      <c r="B50" s="16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1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16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1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1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6"/>
      <c r="B55" s="1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16"/>
      <c r="B56" s="1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6"/>
      <c r="B58" s="16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16"/>
      <c r="B59" s="1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16"/>
      <c r="B60" s="1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6"/>
      <c r="B62" s="1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16"/>
      <c r="B63" s="1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16"/>
      <c r="B64" s="16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6"/>
      <c r="B65" s="16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16"/>
      <c r="B66" s="1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6"/>
      <c r="B68" s="16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16"/>
      <c r="B69" s="1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16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1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1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6"/>
      <c r="B77" s="16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16"/>
      <c r="B78" s="16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6"/>
      <c r="B80" s="16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16"/>
      <c r="B81" s="16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16"/>
      <c r="B82" s="1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6"/>
      <c r="B84" s="16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16"/>
      <c r="B85" s="1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16"/>
      <c r="B86" s="1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6"/>
      <c r="B87" s="1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16"/>
      <c r="B88" s="16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16"/>
      <c r="B89" s="16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16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16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16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16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16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16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16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16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1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16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4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6.0"/>
    <col customWidth="1" min="3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06" t="s">
        <v>114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107" t="str">
        <f>'Income Statement'!B4</f>
        <v>(YE 31-Dec, USDm)</v>
      </c>
      <c r="C4" s="108">
        <f>'Income Statement'!C4</f>
        <v>2007</v>
      </c>
      <c r="D4" s="108">
        <f>'Income Statement'!D4</f>
        <v>2008</v>
      </c>
      <c r="E4" s="108">
        <f>'Income Statement'!E4</f>
        <v>2009</v>
      </c>
      <c r="F4" s="108">
        <f>'Income Statement'!F4</f>
        <v>2010</v>
      </c>
      <c r="G4" s="108">
        <f>'Income Statement'!G4</f>
        <v>2011</v>
      </c>
      <c r="H4" s="109">
        <f>'Income Statement'!H4</f>
        <v>2012</v>
      </c>
      <c r="I4" s="109">
        <f>'Income Statement'!I4</f>
        <v>2013</v>
      </c>
      <c r="J4" s="109">
        <f>'Income Statement'!J4</f>
        <v>2014</v>
      </c>
      <c r="K4" s="109">
        <f>'Income Statement'!K4</f>
        <v>2015</v>
      </c>
      <c r="L4" s="109">
        <f>'Income Statement'!L4</f>
        <v>2016</v>
      </c>
      <c r="M4" s="109">
        <f>'Income Statement'!M4</f>
        <v>2017</v>
      </c>
      <c r="N4" s="109">
        <f>'Income Statement'!N4</f>
        <v>2018</v>
      </c>
      <c r="O4" s="109">
        <f>'Income Statement'!O4</f>
        <v>2019</v>
      </c>
      <c r="P4" s="109">
        <f>'Income Statement'!P4</f>
        <v>2020</v>
      </c>
      <c r="Q4" s="109">
        <f>'Income Statement'!Q4</f>
        <v>2021</v>
      </c>
      <c r="R4" s="16"/>
      <c r="S4" s="16"/>
      <c r="T4" s="16"/>
      <c r="U4" s="16"/>
      <c r="V4" s="16"/>
      <c r="W4" s="16"/>
      <c r="X4" s="16"/>
      <c r="Y4" s="16"/>
      <c r="Z4" s="16"/>
    </row>
    <row r="5" ht="12.75" customHeight="1">
      <c r="A5" s="16"/>
      <c r="B5" s="16" t="s">
        <v>109</v>
      </c>
      <c r="C5" s="30">
        <f>+C8-C7</f>
        <v>55</v>
      </c>
      <c r="D5" s="30">
        <f t="shared" ref="D5:G5" si="1">+C8</f>
        <v>50</v>
      </c>
      <c r="E5" s="30">
        <f t="shared" si="1"/>
        <v>45</v>
      </c>
      <c r="F5" s="30">
        <f t="shared" si="1"/>
        <v>40</v>
      </c>
      <c r="G5" s="30">
        <f t="shared" si="1"/>
        <v>35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16"/>
      <c r="S5" s="16"/>
      <c r="T5" s="16"/>
      <c r="U5" s="16"/>
      <c r="V5" s="16"/>
      <c r="W5" s="16"/>
      <c r="X5" s="16"/>
      <c r="Y5" s="16"/>
      <c r="Z5" s="16"/>
    </row>
    <row r="6" ht="12.75" customHeight="1">
      <c r="A6" s="16"/>
      <c r="B6" s="37" t="s">
        <v>110</v>
      </c>
      <c r="C6" s="30">
        <v>0.0</v>
      </c>
      <c r="D6" s="30">
        <v>0.0</v>
      </c>
      <c r="E6" s="30">
        <v>0.0</v>
      </c>
      <c r="F6" s="30">
        <v>0.0</v>
      </c>
      <c r="G6" s="30">
        <v>0.0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18"/>
      <c r="B7" s="37" t="s">
        <v>115</v>
      </c>
      <c r="C7" s="31">
        <f>+D7</f>
        <v>-5</v>
      </c>
      <c r="D7" s="31">
        <f t="shared" ref="D7:G7" si="2">-D5+D8</f>
        <v>-5</v>
      </c>
      <c r="E7" s="31">
        <f t="shared" si="2"/>
        <v>-5</v>
      </c>
      <c r="F7" s="31">
        <f t="shared" si="2"/>
        <v>-5</v>
      </c>
      <c r="G7" s="31">
        <f t="shared" si="2"/>
        <v>-5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2.75" customHeight="1">
      <c r="A8" s="16"/>
      <c r="B8" s="66" t="s">
        <v>113</v>
      </c>
      <c r="C8" s="67">
        <v>50.0</v>
      </c>
      <c r="D8" s="67">
        <v>45.0</v>
      </c>
      <c r="E8" s="67">
        <v>40.0</v>
      </c>
      <c r="F8" s="67">
        <v>35.0</v>
      </c>
      <c r="G8" s="67">
        <v>30.0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18"/>
      <c r="B9" s="36"/>
      <c r="C9" s="32"/>
      <c r="D9" s="32"/>
      <c r="E9" s="32"/>
      <c r="F9" s="32"/>
      <c r="G9" s="32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2.75" customHeight="1">
      <c r="A10" s="18"/>
      <c r="B10" s="110" t="s">
        <v>116</v>
      </c>
      <c r="C10" s="111">
        <v>0.06</v>
      </c>
      <c r="D10" s="32"/>
      <c r="E10" s="32"/>
      <c r="F10" s="32"/>
      <c r="G10" s="3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16"/>
      <c r="B11" s="3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16"/>
      <c r="B12" s="110" t="s">
        <v>51</v>
      </c>
      <c r="C12" s="112">
        <f t="shared" ref="C12:G12" si="3">+C5*$C$10</f>
        <v>3.3</v>
      </c>
      <c r="D12" s="112">
        <f t="shared" si="3"/>
        <v>3</v>
      </c>
      <c r="E12" s="112">
        <f t="shared" si="3"/>
        <v>2.7</v>
      </c>
      <c r="F12" s="112">
        <f t="shared" si="3"/>
        <v>2.4</v>
      </c>
      <c r="G12" s="112">
        <f t="shared" si="3"/>
        <v>2.1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18"/>
      <c r="B13" s="36"/>
      <c r="C13" s="32"/>
      <c r="D13" s="32"/>
      <c r="E13" s="32"/>
      <c r="F13" s="32"/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2.75" customHeight="1">
      <c r="A14" s="16"/>
      <c r="B14" s="16"/>
      <c r="C14" s="30"/>
      <c r="D14" s="30"/>
      <c r="E14" s="30"/>
      <c r="F14" s="30"/>
      <c r="G14" s="30"/>
      <c r="H14" s="114" t="s">
        <v>117</v>
      </c>
      <c r="I14" s="115"/>
      <c r="J14" s="115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16"/>
      <c r="B15" s="1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16"/>
      <c r="B16" s="16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6"/>
      <c r="B17" s="16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16"/>
      <c r="B18" s="1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6"/>
      <c r="B19" s="16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16"/>
      <c r="B20" s="1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16"/>
      <c r="B21" s="1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16"/>
      <c r="B22" s="1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16"/>
      <c r="B23" s="1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16"/>
      <c r="B24" s="1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6"/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16"/>
      <c r="B26" s="1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16"/>
      <c r="B27" s="1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16"/>
      <c r="B28" s="1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16"/>
      <c r="B29" s="1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16"/>
      <c r="B30" s="1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16"/>
      <c r="B31" s="1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6"/>
      <c r="B32" s="1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16"/>
      <c r="B33" s="1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16"/>
      <c r="B34" s="1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6"/>
      <c r="B35" s="1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16"/>
      <c r="B36" s="1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16"/>
      <c r="B37" s="1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16"/>
      <c r="B38" s="16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1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6"/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6"/>
      <c r="B44" s="1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16"/>
      <c r="B45" s="1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16"/>
      <c r="B46" s="1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16"/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16"/>
      <c r="B48" s="1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16"/>
      <c r="B49" s="1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16"/>
      <c r="B50" s="16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1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16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1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1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6"/>
      <c r="B55" s="1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16"/>
      <c r="B56" s="1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6"/>
      <c r="B58" s="16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16"/>
      <c r="B59" s="1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16"/>
      <c r="B60" s="1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6"/>
      <c r="B62" s="1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16"/>
      <c r="B63" s="1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16"/>
      <c r="B64" s="16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6"/>
      <c r="B65" s="16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16"/>
      <c r="B66" s="1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6"/>
      <c r="B68" s="16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16"/>
      <c r="B69" s="1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16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1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1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6"/>
      <c r="B77" s="16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16"/>
      <c r="B78" s="16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6"/>
      <c r="B80" s="16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16"/>
      <c r="B81" s="16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16"/>
      <c r="B82" s="1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6"/>
      <c r="B84" s="16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16"/>
      <c r="B85" s="1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16"/>
      <c r="B86" s="1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6"/>
      <c r="B87" s="1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16"/>
      <c r="B88" s="16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16"/>
      <c r="B89" s="16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16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16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16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16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16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16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16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16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1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16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46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75"/>
    <col customWidth="1" min="2" max="2" width="11.38"/>
    <col customWidth="1" min="3" max="3" width="13.5"/>
    <col customWidth="1" min="4" max="14" width="7.75"/>
    <col customWidth="1" min="15" max="15" width="3.25"/>
    <col customWidth="1" min="16" max="16" width="5.25"/>
    <col customWidth="1" min="17" max="26" width="7.75"/>
  </cols>
  <sheetData>
    <row r="1" ht="12.75" customHeight="1">
      <c r="A1" s="116" t="s">
        <v>118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2.75" customHeight="1">
      <c r="A2" s="116" t="s">
        <v>119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2.75" customHeight="1">
      <c r="A4" s="119" t="str">
        <f>'Balance Sheet'!B4</f>
        <v>(YE 31-Dec, USDm)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2.75" customHeight="1">
      <c r="A5" s="118"/>
      <c r="B5" s="118"/>
      <c r="C5" s="118"/>
      <c r="D5" s="121">
        <v>1.0</v>
      </c>
      <c r="E5" s="121">
        <v>2.0</v>
      </c>
      <c r="F5" s="121">
        <v>3.0</v>
      </c>
      <c r="G5" s="121">
        <f t="shared" ref="G5:M5" si="1">+F5+1</f>
        <v>4</v>
      </c>
      <c r="H5" s="121">
        <f t="shared" si="1"/>
        <v>5</v>
      </c>
      <c r="I5" s="121">
        <f t="shared" si="1"/>
        <v>6</v>
      </c>
      <c r="J5" s="121">
        <f t="shared" si="1"/>
        <v>7</v>
      </c>
      <c r="K5" s="121">
        <f t="shared" si="1"/>
        <v>8</v>
      </c>
      <c r="L5" s="121">
        <f t="shared" si="1"/>
        <v>9</v>
      </c>
      <c r="M5" s="121">
        <f t="shared" si="1"/>
        <v>10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2.75" customHeight="1">
      <c r="A6" s="118"/>
      <c r="B6" s="118"/>
      <c r="C6" s="21">
        <f>+'Balance Sheet'!G4</f>
        <v>2011</v>
      </c>
      <c r="D6" s="22">
        <f>+'Balance Sheet'!I4</f>
        <v>2012</v>
      </c>
      <c r="E6" s="23">
        <f>+'Balance Sheet'!J4</f>
        <v>2013</v>
      </c>
      <c r="F6" s="23">
        <f>+'Balance Sheet'!K4</f>
        <v>2014</v>
      </c>
      <c r="G6" s="23">
        <f>+'Balance Sheet'!L4</f>
        <v>2015</v>
      </c>
      <c r="H6" s="23">
        <f>+'Balance Sheet'!M4</f>
        <v>2016</v>
      </c>
      <c r="I6" s="23">
        <f>+'Balance Sheet'!N4</f>
        <v>2017</v>
      </c>
      <c r="J6" s="23">
        <f>+'Balance Sheet'!O4</f>
        <v>2018</v>
      </c>
      <c r="K6" s="23">
        <f>+'Balance Sheet'!P4</f>
        <v>2019</v>
      </c>
      <c r="L6" s="23">
        <f>+'Balance Sheet'!Q4</f>
        <v>2020</v>
      </c>
      <c r="M6" s="23">
        <f>+'Balance Sheet'!R4</f>
        <v>2021</v>
      </c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2.7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2.75" customHeight="1">
      <c r="A8" s="118" t="s">
        <v>50</v>
      </c>
      <c r="B8" s="118"/>
      <c r="C8" s="30">
        <f>'Income Statement'!G89</f>
        <v>39.166</v>
      </c>
      <c r="D8" s="30">
        <f>'Income Statement'!H89</f>
        <v>39.62424916</v>
      </c>
      <c r="E8" s="30">
        <f>'Income Statement'!I89</f>
        <v>42.68789605</v>
      </c>
      <c r="F8" s="30">
        <f>'Income Statement'!J89</f>
        <v>46.95615163</v>
      </c>
      <c r="G8" s="30">
        <f>'Income Statement'!K89</f>
        <v>51.97682521</v>
      </c>
      <c r="H8" s="30">
        <f>'Income Statement'!L89</f>
        <v>58.102297</v>
      </c>
      <c r="I8" s="30">
        <f>'Income Statement'!M89</f>
        <v>59.77443697</v>
      </c>
      <c r="J8" s="30">
        <f>'Income Statement'!N89</f>
        <v>64.31498665</v>
      </c>
      <c r="K8" s="30">
        <f>'Income Statement'!O89</f>
        <v>67.94471893</v>
      </c>
      <c r="L8" s="30">
        <f>'Income Statement'!P89</f>
        <v>70.71035602</v>
      </c>
      <c r="M8" s="30">
        <f>'Income Statement'!Q89</f>
        <v>72.29691894</v>
      </c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2.75" customHeight="1">
      <c r="A9" s="118"/>
      <c r="B9" s="118"/>
      <c r="C9" s="122"/>
      <c r="D9" s="30"/>
      <c r="E9" s="30"/>
      <c r="F9" s="30"/>
      <c r="G9" s="30"/>
      <c r="H9" s="30"/>
      <c r="I9" s="30"/>
      <c r="J9" s="30"/>
      <c r="K9" s="30"/>
      <c r="L9" s="30"/>
      <c r="M9" s="30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2.75" customHeight="1">
      <c r="A10" s="118" t="s">
        <v>120</v>
      </c>
      <c r="B10" s="118"/>
      <c r="C10" s="122"/>
      <c r="D10" s="30">
        <f>-'Income Statement'!H82</f>
        <v>4.288817787</v>
      </c>
      <c r="E10" s="30">
        <f>-'Income Statement'!I82</f>
        <v>4.787777482</v>
      </c>
      <c r="F10" s="30">
        <f>-'Income Statement'!J82</f>
        <v>5.448976688</v>
      </c>
      <c r="G10" s="30">
        <f>-'Income Statement'!K82</f>
        <v>6.231827554</v>
      </c>
      <c r="H10" s="30">
        <f>-'Income Statement'!L82</f>
        <v>7.188135831</v>
      </c>
      <c r="I10" s="30">
        <f>-'Income Statement'!M82</f>
        <v>4.070125309</v>
      </c>
      <c r="J10" s="30">
        <f>-'Income Statement'!N82</f>
        <v>4.517268588</v>
      </c>
      <c r="K10" s="30">
        <f>-'Income Statement'!O82</f>
        <v>4.917296782</v>
      </c>
      <c r="L10" s="30">
        <f>-'Income Statement'!P82</f>
        <v>5.267753238</v>
      </c>
      <c r="M10" s="30">
        <f>-'Income Statement'!Q82</f>
        <v>5.538919839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2.75" customHeight="1">
      <c r="A11" s="118"/>
      <c r="B11" s="118"/>
      <c r="C11" s="12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2.75" customHeight="1">
      <c r="A12" s="118" t="s">
        <v>44</v>
      </c>
      <c r="B12" s="118"/>
      <c r="C12" s="122"/>
      <c r="D12" s="30">
        <f t="shared" ref="D12:M12" si="2">+D8-D10</f>
        <v>35.33543137</v>
      </c>
      <c r="E12" s="30">
        <f t="shared" si="2"/>
        <v>37.90011857</v>
      </c>
      <c r="F12" s="30">
        <f t="shared" si="2"/>
        <v>41.50717494</v>
      </c>
      <c r="G12" s="30">
        <f t="shared" si="2"/>
        <v>45.74499766</v>
      </c>
      <c r="H12" s="30">
        <f t="shared" si="2"/>
        <v>50.91416117</v>
      </c>
      <c r="I12" s="30">
        <f t="shared" si="2"/>
        <v>55.70431166</v>
      </c>
      <c r="J12" s="30">
        <f t="shared" si="2"/>
        <v>59.79771806</v>
      </c>
      <c r="K12" s="30">
        <f t="shared" si="2"/>
        <v>63.02742214</v>
      </c>
      <c r="L12" s="30">
        <f t="shared" si="2"/>
        <v>65.44260278</v>
      </c>
      <c r="M12" s="30">
        <f t="shared" si="2"/>
        <v>66.7579991</v>
      </c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2.75" customHeight="1">
      <c r="A13" s="118"/>
      <c r="B13" s="118"/>
      <c r="C13" s="12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2.75" customHeight="1">
      <c r="A14" s="118" t="s">
        <v>53</v>
      </c>
      <c r="B14" s="118"/>
      <c r="C14" s="122"/>
      <c r="D14" s="30">
        <f>+'Income Statement'!H97</f>
        <v>0</v>
      </c>
      <c r="E14" s="30">
        <f>+'Income Statement'!I97</f>
        <v>0</v>
      </c>
      <c r="F14" s="30">
        <f>+'Income Statement'!J97</f>
        <v>0</v>
      </c>
      <c r="G14" s="30">
        <f>+'Income Statement'!K97</f>
        <v>0</v>
      </c>
      <c r="H14" s="30">
        <f>+'Income Statement'!L97</f>
        <v>0</v>
      </c>
      <c r="I14" s="30">
        <f>+'Income Statement'!M97</f>
        <v>0</v>
      </c>
      <c r="J14" s="30">
        <f>+'Income Statement'!N97</f>
        <v>0</v>
      </c>
      <c r="K14" s="30">
        <f>+'Income Statement'!O97</f>
        <v>0</v>
      </c>
      <c r="L14" s="30">
        <f>+'Income Statement'!P97</f>
        <v>0</v>
      </c>
      <c r="M14" s="30">
        <f>+'Income Statement'!Q97</f>
        <v>0</v>
      </c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2.75" customHeight="1">
      <c r="A15" s="123"/>
      <c r="B15" s="12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ht="12.75" customHeight="1">
      <c r="A16" s="118" t="s">
        <v>55</v>
      </c>
      <c r="B16" s="118"/>
      <c r="C16" s="122"/>
      <c r="D16" s="30">
        <f>+'Cash Flow Statement'!H19</f>
        <v>-6.172179623</v>
      </c>
      <c r="E16" s="30">
        <f>+'Cash Flow Statement'!I19</f>
        <v>-6.620163685</v>
      </c>
      <c r="F16" s="30">
        <f>+'Cash Flow Statement'!J19</f>
        <v>-7.250222495</v>
      </c>
      <c r="G16" s="30">
        <f>+'Cash Flow Statement'!K19</f>
        <v>-7.990459759</v>
      </c>
      <c r="H16" s="30">
        <f>+'Cash Flow Statement'!L19</f>
        <v>-8.893378004</v>
      </c>
      <c r="I16" s="30">
        <f>+'Cash Flow Statement'!M19</f>
        <v>-4.865046273</v>
      </c>
      <c r="J16" s="30">
        <f>+'Cash Flow Statement'!N19</f>
        <v>-5.22255202</v>
      </c>
      <c r="K16" s="30">
        <f>+'Cash Flow Statement'!O19</f>
        <v>-5.504624616</v>
      </c>
      <c r="L16" s="30">
        <f>+'Cash Flow Statement'!P19</f>
        <v>-5.715559196</v>
      </c>
      <c r="M16" s="30">
        <f>+'Cash Flow Statement'!Q19</f>
        <v>-5.830441935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2.75" customHeight="1">
      <c r="A17" s="118"/>
      <c r="B17" s="118"/>
      <c r="C17" s="11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2.75" customHeight="1">
      <c r="A18" s="118" t="s">
        <v>121</v>
      </c>
      <c r="B18" s="118"/>
      <c r="C18" s="124"/>
      <c r="D18" s="30">
        <f>+'Cash Flow Statement'!H10</f>
        <v>2.645949725</v>
      </c>
      <c r="E18" s="30">
        <f>+'Cash Flow Statement'!I10</f>
        <v>2.730863136</v>
      </c>
      <c r="F18" s="30">
        <f>+'Cash Flow Statement'!J10</f>
        <v>3.840771415</v>
      </c>
      <c r="G18" s="30">
        <f>+'Cash Flow Statement'!K10</f>
        <v>4.512407533</v>
      </c>
      <c r="H18" s="30">
        <f>+'Cash Flow Statement'!L10</f>
        <v>5.50409347</v>
      </c>
      <c r="I18" s="30">
        <f>+'Cash Flow Statement'!M10</f>
        <v>5.100522749</v>
      </c>
      <c r="J18" s="30">
        <f>+'Cash Flow Statement'!N10</f>
        <v>4.358633924</v>
      </c>
      <c r="K18" s="30">
        <f>+'Cash Flow Statement'!O10</f>
        <v>3.438969023</v>
      </c>
      <c r="L18" s="30">
        <f>+'Cash Flow Statement'!P10</f>
        <v>2.571669469</v>
      </c>
      <c r="M18" s="30">
        <f>+'Cash Flow Statement'!Q10</f>
        <v>1.400625897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2.7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2.75" customHeight="1">
      <c r="A20" s="125" t="s">
        <v>122</v>
      </c>
      <c r="B20" s="125"/>
      <c r="C20" s="126"/>
      <c r="D20" s="98">
        <f t="shared" ref="D20:M20" si="3">+D12+D14+D16+D18+D10</f>
        <v>36.09801926</v>
      </c>
      <c r="E20" s="98">
        <f t="shared" si="3"/>
        <v>38.7985955</v>
      </c>
      <c r="F20" s="98">
        <f t="shared" si="3"/>
        <v>43.54670055</v>
      </c>
      <c r="G20" s="98">
        <f t="shared" si="3"/>
        <v>48.49877299</v>
      </c>
      <c r="H20" s="98">
        <f t="shared" si="3"/>
        <v>54.71301246</v>
      </c>
      <c r="I20" s="98">
        <f t="shared" si="3"/>
        <v>60.00991345</v>
      </c>
      <c r="J20" s="98">
        <f t="shared" si="3"/>
        <v>63.45106855</v>
      </c>
      <c r="K20" s="98">
        <f t="shared" si="3"/>
        <v>65.87906333</v>
      </c>
      <c r="L20" s="98">
        <f t="shared" si="3"/>
        <v>67.56646629</v>
      </c>
      <c r="M20" s="98">
        <f t="shared" si="3"/>
        <v>67.8671029</v>
      </c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4.5" customHeight="1">
      <c r="A21" s="127"/>
      <c r="B21" s="127"/>
      <c r="C21" s="1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2.75" customHeight="1">
      <c r="A22" s="129" t="s">
        <v>123</v>
      </c>
      <c r="B22" s="129"/>
      <c r="C22" s="129"/>
      <c r="D22" s="31">
        <f t="shared" ref="D22:M22" si="4">1/((1+$C$26)^D5)</f>
        <v>0.8976660682</v>
      </c>
      <c r="E22" s="31">
        <f t="shared" si="4"/>
        <v>0.80580437</v>
      </c>
      <c r="F22" s="31">
        <f t="shared" si="4"/>
        <v>0.7233432406</v>
      </c>
      <c r="G22" s="31">
        <f t="shared" si="4"/>
        <v>0.6493206828</v>
      </c>
      <c r="H22" s="31">
        <f t="shared" si="4"/>
        <v>0.5828731443</v>
      </c>
      <c r="I22" s="31">
        <f t="shared" si="4"/>
        <v>0.5232254437</v>
      </c>
      <c r="J22" s="31">
        <f t="shared" si="4"/>
        <v>0.4696817269</v>
      </c>
      <c r="K22" s="31">
        <f t="shared" si="4"/>
        <v>0.4216173491</v>
      </c>
      <c r="L22" s="31">
        <f t="shared" si="4"/>
        <v>0.378471588</v>
      </c>
      <c r="M22" s="31">
        <f t="shared" si="4"/>
        <v>0.3397411024</v>
      </c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ht="4.5" customHeight="1">
      <c r="A23" s="118"/>
      <c r="B23" s="118"/>
      <c r="C23" s="11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118" t="s">
        <v>124</v>
      </c>
      <c r="B24" s="118"/>
      <c r="C24" s="118"/>
      <c r="D24" s="30">
        <f t="shared" ref="D24:M24" si="5">+D20*D22</f>
        <v>32.40396702</v>
      </c>
      <c r="E24" s="30">
        <f t="shared" si="5"/>
        <v>31.26407781</v>
      </c>
      <c r="F24" s="30">
        <f t="shared" si="5"/>
        <v>31.49921149</v>
      </c>
      <c r="G24" s="30">
        <f t="shared" si="5"/>
        <v>31.49125639</v>
      </c>
      <c r="H24" s="30">
        <f t="shared" si="5"/>
        <v>31.89074561</v>
      </c>
      <c r="I24" s="30">
        <f t="shared" si="5"/>
        <v>31.39871359</v>
      </c>
      <c r="J24" s="30">
        <f t="shared" si="5"/>
        <v>29.80180745</v>
      </c>
      <c r="K24" s="30">
        <f t="shared" si="5"/>
        <v>27.77575604</v>
      </c>
      <c r="L24" s="30">
        <f t="shared" si="5"/>
        <v>25.5719878</v>
      </c>
      <c r="M24" s="30">
        <f t="shared" si="5"/>
        <v>23.05724435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2.7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ht="12.75" customHeight="1">
      <c r="A26" s="130" t="s">
        <v>125</v>
      </c>
      <c r="B26" s="131"/>
      <c r="C26" s="132">
        <f>+'WACC Calculation'!C11</f>
        <v>0.114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2.75" customHeight="1">
      <c r="A27" s="133" t="s">
        <v>126</v>
      </c>
      <c r="B27" s="127"/>
      <c r="C27" s="134">
        <v>0.02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2.75" customHeight="1">
      <c r="A28" s="135"/>
      <c r="B28" s="118"/>
      <c r="C28" s="136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2.75" customHeight="1">
      <c r="A29" s="135"/>
      <c r="B29" s="118"/>
      <c r="C29" s="13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2.75" customHeight="1">
      <c r="A30" s="133" t="s">
        <v>127</v>
      </c>
      <c r="B30" s="127"/>
      <c r="C30" s="77">
        <f>(M20*(1+C26))/(C26-C27)</f>
        <v>804.2973684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ht="12.75" customHeight="1">
      <c r="A31" s="135" t="s">
        <v>128</v>
      </c>
      <c r="B31" s="118"/>
      <c r="C31" s="77">
        <f>C30*M22</f>
        <v>273.2528746</v>
      </c>
      <c r="D31" s="118"/>
      <c r="E31" s="118"/>
      <c r="F31" s="138"/>
      <c r="G31" s="138"/>
      <c r="H31" s="138"/>
      <c r="I31" s="138"/>
      <c r="J31" s="13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ht="12.75" customHeight="1">
      <c r="A32" s="135"/>
      <c r="B32" s="118"/>
      <c r="C32" s="77"/>
      <c r="D32" s="118"/>
      <c r="E32" s="118"/>
      <c r="F32" s="138"/>
      <c r="G32" s="138"/>
      <c r="H32" s="138"/>
      <c r="I32" s="138"/>
      <c r="J32" s="13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ht="12.75" customHeight="1">
      <c r="A33" s="135" t="s">
        <v>129</v>
      </c>
      <c r="B33" s="118"/>
      <c r="C33" s="77">
        <f>SUM(D24:M24)</f>
        <v>296.1547675</v>
      </c>
      <c r="D33" s="118"/>
      <c r="E33" s="118"/>
      <c r="F33" s="138"/>
      <c r="G33" s="138"/>
      <c r="H33" s="138"/>
      <c r="I33" s="138"/>
      <c r="J33" s="13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2.75" customHeight="1">
      <c r="A34" s="135"/>
      <c r="B34" s="118"/>
      <c r="C34" s="77"/>
      <c r="D34" s="118"/>
      <c r="E34" s="118"/>
      <c r="F34" s="138"/>
      <c r="G34" s="138"/>
      <c r="H34" s="138"/>
      <c r="I34" s="138"/>
      <c r="J34" s="13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2.75" customHeight="1">
      <c r="A35" s="133" t="s">
        <v>130</v>
      </c>
      <c r="B35" s="127"/>
      <c r="C35" s="139">
        <f>+C31+C33</f>
        <v>569.4076421</v>
      </c>
      <c r="D35" s="140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2.75" customHeight="1">
      <c r="A36" s="135" t="s">
        <v>90</v>
      </c>
      <c r="B36" s="118"/>
      <c r="C36" s="77">
        <f>+'Balance Sheet'!H23</f>
        <v>234.996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2.75" customHeight="1">
      <c r="A37" s="135" t="s">
        <v>131</v>
      </c>
      <c r="B37" s="118"/>
      <c r="C37" s="77">
        <v>0.0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2.75" customHeight="1">
      <c r="A38" s="141" t="s">
        <v>132</v>
      </c>
      <c r="B38" s="142"/>
      <c r="C38" s="143">
        <f>+C35-C36</f>
        <v>334.4116421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2.75" customHeight="1">
      <c r="A39" s="123"/>
      <c r="B39" s="123"/>
      <c r="C39" s="30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2.75" customHeight="1">
      <c r="A40" s="130" t="s">
        <v>133</v>
      </c>
      <c r="B40" s="131"/>
      <c r="C40" s="144">
        <f>+C35/D8</f>
        <v>14.37018125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2.75" customHeight="1">
      <c r="A41" s="141" t="s">
        <v>134</v>
      </c>
      <c r="B41" s="142"/>
      <c r="C41" s="145">
        <f>+C35/D12</f>
        <v>16.11435378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2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46"/>
      <c r="Q42" s="8"/>
      <c r="R42" s="8"/>
      <c r="S42" s="8"/>
      <c r="T42" s="8"/>
      <c r="U42" s="9"/>
      <c r="V42" s="118"/>
      <c r="W42" s="118"/>
      <c r="X42" s="118"/>
      <c r="Y42" s="118"/>
      <c r="Z42" s="118"/>
    </row>
    <row r="43" ht="15.0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Q43" s="147" t="s">
        <v>135</v>
      </c>
      <c r="R43" s="8"/>
      <c r="S43" s="8"/>
      <c r="T43" s="8"/>
      <c r="U43" s="9"/>
      <c r="V43" s="118"/>
      <c r="W43" s="118"/>
      <c r="X43" s="118"/>
      <c r="Y43" s="118"/>
      <c r="Z43" s="118"/>
    </row>
    <row r="44" ht="12.7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48" t="s">
        <v>125</v>
      </c>
      <c r="R44" s="8"/>
      <c r="S44" s="8"/>
      <c r="T44" s="8"/>
      <c r="U44" s="9"/>
      <c r="V44" s="118"/>
      <c r="W44" s="118"/>
      <c r="X44" s="118"/>
      <c r="Y44" s="118"/>
      <c r="Z44" s="118"/>
    </row>
    <row r="45" ht="12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49">
        <f>C35</f>
        <v>569.4076421</v>
      </c>
      <c r="Q45" s="150">
        <f t="shared" ref="Q45:R45" si="6">+R45-0.01</f>
        <v>0.085</v>
      </c>
      <c r="R45" s="150">
        <f t="shared" si="6"/>
        <v>0.095</v>
      </c>
      <c r="S45" s="150">
        <v>0.105</v>
      </c>
      <c r="T45" s="150">
        <f t="shared" ref="T45:U45" si="7">+S45+0.01</f>
        <v>0.115</v>
      </c>
      <c r="U45" s="150">
        <f t="shared" si="7"/>
        <v>0.125</v>
      </c>
      <c r="V45" s="118"/>
      <c r="W45" s="118"/>
      <c r="X45" s="118"/>
      <c r="Y45" s="118"/>
      <c r="Z45" s="118"/>
    </row>
    <row r="46" ht="12.7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51" t="s">
        <v>126</v>
      </c>
      <c r="P46" s="152">
        <f t="shared" ref="P46:P47" si="8">+P47-0.005</f>
        <v>0.01</v>
      </c>
      <c r="Q46" s="153">
        <v>775.3130653743592</v>
      </c>
      <c r="R46" s="83">
        <v>677.3110951352273</v>
      </c>
      <c r="S46" s="83">
        <v>599.9732351425671</v>
      </c>
      <c r="T46" s="83">
        <v>537.4228215413477</v>
      </c>
      <c r="U46" s="75">
        <v>485.8223069471541</v>
      </c>
      <c r="V46" s="118"/>
      <c r="W46" s="118"/>
      <c r="X46" s="118"/>
      <c r="Y46" s="118"/>
      <c r="Z46" s="118"/>
    </row>
    <row r="47" ht="12.7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54"/>
      <c r="P47" s="152">
        <f t="shared" si="8"/>
        <v>0.015</v>
      </c>
      <c r="Q47" s="155">
        <v>806.3302494723293</v>
      </c>
      <c r="R47" s="156">
        <v>699.3603201506305</v>
      </c>
      <c r="S47" s="156">
        <v>616.1317967308237</v>
      </c>
      <c r="T47" s="156">
        <v>549.555765993419</v>
      </c>
      <c r="U47" s="77">
        <v>495.1155241412602</v>
      </c>
      <c r="V47" s="118"/>
      <c r="W47" s="118"/>
      <c r="X47" s="118"/>
      <c r="Y47" s="118"/>
      <c r="Z47" s="118"/>
    </row>
    <row r="48" ht="12.7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54"/>
      <c r="P48" s="152">
        <v>0.02</v>
      </c>
      <c r="Q48" s="155">
        <v>842.1193080469104</v>
      </c>
      <c r="R48" s="156">
        <v>724.3494418347541</v>
      </c>
      <c r="S48" s="157">
        <v>634.1913655647575</v>
      </c>
      <c r="T48" s="156">
        <v>562.9658624930767</v>
      </c>
      <c r="U48" s="77">
        <v>505.2938096395669</v>
      </c>
      <c r="V48" s="118"/>
      <c r="W48" s="118"/>
      <c r="X48" s="118"/>
      <c r="Y48" s="118"/>
      <c r="Z48" s="118"/>
    </row>
    <row r="49" ht="12.7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54"/>
      <c r="P49" s="152">
        <f t="shared" ref="P49:P50" si="9">+P48+0.005</f>
        <v>0.025</v>
      </c>
      <c r="Q49" s="155">
        <v>883.8732097172547</v>
      </c>
      <c r="R49" s="156">
        <v>752.9084380451809</v>
      </c>
      <c r="S49" s="156">
        <v>654.508380502933</v>
      </c>
      <c r="T49" s="156">
        <v>577.8659697149185</v>
      </c>
      <c r="U49" s="77">
        <v>516.4899236877043</v>
      </c>
      <c r="V49" s="118"/>
      <c r="W49" s="118"/>
      <c r="X49" s="118"/>
      <c r="Y49" s="118"/>
      <c r="Z49" s="118"/>
    </row>
    <row r="50" ht="12.7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58"/>
      <c r="P50" s="152">
        <f t="shared" si="9"/>
        <v>0.03</v>
      </c>
      <c r="Q50" s="159">
        <v>933.2187298731162</v>
      </c>
      <c r="R50" s="160">
        <v>785.8611259802888</v>
      </c>
      <c r="S50" s="160">
        <v>677.5343307661988</v>
      </c>
      <c r="T50" s="160">
        <v>594.5190307275652</v>
      </c>
      <c r="U50" s="161">
        <v>528.8645760566981</v>
      </c>
      <c r="V50" s="118"/>
      <c r="W50" s="118"/>
      <c r="X50" s="118"/>
      <c r="Y50" s="118"/>
      <c r="Z50" s="118"/>
    </row>
    <row r="51" ht="12.7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2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2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ht="12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ht="12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ht="12.7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ht="12.7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ht="12.7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4">
    <mergeCell ref="P42:U42"/>
    <mergeCell ref="Q43:U43"/>
    <mergeCell ref="Q44:U44"/>
    <mergeCell ref="O46:O50"/>
  </mergeCells>
  <printOptions/>
  <pageMargins bottom="0.7480314960629921" footer="0.0" header="0.0" left="0.7086614173228347" right="0.7086614173228347" top="0.7480314960629921"/>
  <pageSetup paperSize="9" scale="67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6.0"/>
    <col customWidth="1" min="3" max="12" width="8.25"/>
    <col customWidth="1" min="13" max="26" width="7.75"/>
  </cols>
  <sheetData>
    <row r="1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6"/>
      <c r="B2" s="17" t="s">
        <v>136</v>
      </c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6"/>
      <c r="B3" s="18"/>
      <c r="C3" s="16"/>
      <c r="D3" s="162" t="s">
        <v>137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6"/>
      <c r="B4" s="16" t="s">
        <v>138</v>
      </c>
      <c r="C4" s="16"/>
      <c r="D4" s="16">
        <f>'Income Statement'!G89</f>
        <v>39.166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2.75" customHeight="1">
      <c r="A5" s="16"/>
      <c r="B5" s="16" t="s">
        <v>139</v>
      </c>
      <c r="C5" s="16"/>
      <c r="D5" s="16">
        <f>+'Income Statement'!H89</f>
        <v>39.62424916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2.75" customHeight="1">
      <c r="A6" s="16"/>
      <c r="B6" s="16" t="s">
        <v>140</v>
      </c>
      <c r="C6" s="163">
        <v>12.0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2.75" customHeight="1">
      <c r="A7" s="16"/>
      <c r="B7" s="16" t="s">
        <v>141</v>
      </c>
      <c r="C7" s="163">
        <v>6.0</v>
      </c>
      <c r="D7" s="16"/>
      <c r="E7" s="16"/>
      <c r="F7" s="16"/>
      <c r="G7" s="16"/>
      <c r="H7" s="16"/>
      <c r="I7" s="16">
        <f>475+213</f>
        <v>688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2.75" customHeight="1">
      <c r="A8" s="16"/>
      <c r="B8" s="16" t="s">
        <v>142</v>
      </c>
      <c r="C8" s="16"/>
      <c r="D8" s="27">
        <f>+D4*C7</f>
        <v>234.996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75" customHeight="1">
      <c r="A9" s="16"/>
      <c r="B9" s="36" t="s">
        <v>143</v>
      </c>
      <c r="C9" s="164">
        <v>4.5</v>
      </c>
      <c r="D9" s="18">
        <f>+C9*D4</f>
        <v>176.247</v>
      </c>
      <c r="E9" s="165">
        <v>0.055</v>
      </c>
      <c r="F9" s="166" t="s">
        <v>144</v>
      </c>
      <c r="G9" s="18">
        <f t="shared" ref="G9:G10" si="1">+D9*E9</f>
        <v>9.693585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6"/>
      <c r="B10" s="36" t="s">
        <v>145</v>
      </c>
      <c r="C10" s="164">
        <v>1.5</v>
      </c>
      <c r="D10" s="18">
        <f>+C10*D4</f>
        <v>58.749</v>
      </c>
      <c r="E10" s="165">
        <v>0.075</v>
      </c>
      <c r="F10" s="166" t="s">
        <v>146</v>
      </c>
      <c r="G10" s="18">
        <f t="shared" si="1"/>
        <v>4.406175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7" t="s">
        <v>147</v>
      </c>
      <c r="C11" s="99"/>
      <c r="D11" s="168">
        <f>+C6*D5</f>
        <v>475.4909899</v>
      </c>
      <c r="E11" s="16"/>
      <c r="F11" s="16"/>
      <c r="G11" s="43">
        <f>+(G9+G10)/D8</f>
        <v>0.06</v>
      </c>
      <c r="H11" s="16" t="s">
        <v>148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9" t="s">
        <v>149</v>
      </c>
      <c r="C12" s="170"/>
      <c r="D12" s="171">
        <f>+D11-D8</f>
        <v>240.4949899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16"/>
      <c r="B13" s="18"/>
      <c r="C13" s="16"/>
      <c r="D13" s="48">
        <f>D12/D11</f>
        <v>0.5057824333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58" t="s">
        <v>18</v>
      </c>
      <c r="C14" s="22">
        <f>'Income Statement'!H4</f>
        <v>2012</v>
      </c>
      <c r="D14" s="23">
        <f>'Income Statement'!I4</f>
        <v>2013</v>
      </c>
      <c r="E14" s="23">
        <f>'Income Statement'!J4</f>
        <v>2014</v>
      </c>
      <c r="F14" s="23">
        <f>'Income Statement'!K4</f>
        <v>2015</v>
      </c>
      <c r="G14" s="23">
        <f>'Income Statement'!L4</f>
        <v>2016</v>
      </c>
      <c r="H14" s="23">
        <f>'Income Statement'!M4</f>
        <v>2017</v>
      </c>
      <c r="I14" s="23">
        <f>'Income Statement'!N4</f>
        <v>2018</v>
      </c>
      <c r="J14" s="23">
        <f>'Income Statement'!O4</f>
        <v>2019</v>
      </c>
      <c r="K14" s="23">
        <f>'Income Statement'!P4</f>
        <v>2020</v>
      </c>
      <c r="L14" s="23">
        <f>'Income Statement'!Q4</f>
        <v>2021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18"/>
      <c r="B16" s="37" t="s">
        <v>150</v>
      </c>
      <c r="C16" s="30">
        <f>DCF!D20</f>
        <v>36.09801926</v>
      </c>
      <c r="D16" s="30">
        <f>DCF!E20</f>
        <v>38.7985955</v>
      </c>
      <c r="E16" s="30">
        <f>DCF!F20</f>
        <v>43.54670055</v>
      </c>
      <c r="F16" s="30">
        <f>DCF!G20</f>
        <v>48.49877299</v>
      </c>
      <c r="G16" s="30">
        <f>DCF!H20</f>
        <v>54.71301246</v>
      </c>
      <c r="H16" s="30">
        <f>DCF!I20</f>
        <v>60.00991345</v>
      </c>
      <c r="I16" s="30">
        <f>DCF!J20</f>
        <v>63.45106855</v>
      </c>
      <c r="J16" s="30">
        <f>DCF!K20</f>
        <v>65.87906333</v>
      </c>
      <c r="K16" s="30">
        <f>DCF!L20</f>
        <v>67.56646629</v>
      </c>
      <c r="L16" s="30">
        <f>DCF!M20</f>
        <v>67.8671029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16"/>
      <c r="B17" s="37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16"/>
      <c r="B18" s="37" t="s">
        <v>151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8"/>
      <c r="B19" s="37" t="s">
        <v>152</v>
      </c>
      <c r="C19" s="30">
        <f t="shared" ref="C19:L19" si="2">+C56</f>
        <v>-12.92478</v>
      </c>
      <c r="D19" s="30">
        <f t="shared" si="2"/>
        <v>-12.92478</v>
      </c>
      <c r="E19" s="30">
        <f t="shared" si="2"/>
        <v>-12.92478</v>
      </c>
      <c r="F19" s="30">
        <f t="shared" si="2"/>
        <v>-12.92478</v>
      </c>
      <c r="G19" s="30">
        <f t="shared" si="2"/>
        <v>-12.92478</v>
      </c>
      <c r="H19" s="30">
        <f t="shared" si="2"/>
        <v>-12.92478</v>
      </c>
      <c r="I19" s="30">
        <f t="shared" si="2"/>
        <v>-12.92478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2.75" customHeight="1">
      <c r="A20" s="18"/>
      <c r="B20" s="37" t="s">
        <v>153</v>
      </c>
      <c r="C20" s="30">
        <f t="shared" ref="C20:L20" si="3">+C57</f>
        <v>0</v>
      </c>
      <c r="D20" s="30">
        <f t="shared" si="3"/>
        <v>0</v>
      </c>
      <c r="E20" s="30">
        <f t="shared" si="3"/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3"/>
        <v>-176.247</v>
      </c>
      <c r="J20" s="30">
        <f t="shared" si="3"/>
        <v>-58.749</v>
      </c>
      <c r="K20" s="30">
        <f t="shared" si="3"/>
        <v>0</v>
      </c>
      <c r="L20" s="30">
        <f t="shared" si="3"/>
        <v>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2.75" customHeight="1">
      <c r="A21" s="18"/>
      <c r="B21" s="37" t="s">
        <v>154</v>
      </c>
      <c r="C21" s="30"/>
      <c r="D21" s="30"/>
      <c r="E21" s="30"/>
      <c r="F21" s="30"/>
      <c r="G21" s="30"/>
      <c r="H21" s="30"/>
      <c r="I21" s="40">
        <v>-125.7207114494953</v>
      </c>
      <c r="J21" s="30"/>
      <c r="K21" s="30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2.75" customHeight="1">
      <c r="A22" s="18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2.75" customHeight="1">
      <c r="A23" s="18"/>
      <c r="B23" s="102" t="s">
        <v>155</v>
      </c>
      <c r="C23" s="104">
        <f t="shared" ref="C23:H23" si="4">+C16+C19+C20</f>
        <v>23.17323926</v>
      </c>
      <c r="D23" s="104">
        <f t="shared" si="4"/>
        <v>25.8738155</v>
      </c>
      <c r="E23" s="104">
        <f t="shared" si="4"/>
        <v>30.62192055</v>
      </c>
      <c r="F23" s="104">
        <f t="shared" si="4"/>
        <v>35.57399299</v>
      </c>
      <c r="G23" s="104">
        <f t="shared" si="4"/>
        <v>41.78823246</v>
      </c>
      <c r="H23" s="104">
        <f t="shared" si="4"/>
        <v>47.08513345</v>
      </c>
      <c r="I23" s="104">
        <f>+I16+I19+I20-I21</f>
        <v>0</v>
      </c>
      <c r="J23" s="104">
        <f t="shared" ref="J23:L23" si="5">+J16+J19+J20</f>
        <v>7.130063334</v>
      </c>
      <c r="K23" s="104">
        <f t="shared" si="5"/>
        <v>67.56646629</v>
      </c>
      <c r="L23" s="104">
        <f t="shared" si="5"/>
        <v>67.8671029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2.75" customHeight="1">
      <c r="A24" s="16"/>
      <c r="B24" s="3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16"/>
      <c r="B25" s="37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18"/>
      <c r="B26" s="172" t="s">
        <v>143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16"/>
      <c r="B27" s="37"/>
      <c r="C27" s="30">
        <v>1.0</v>
      </c>
      <c r="D27" s="30">
        <f t="shared" ref="D27:L27" si="6">+C27+1</f>
        <v>2</v>
      </c>
      <c r="E27" s="30">
        <f t="shared" si="6"/>
        <v>3</v>
      </c>
      <c r="F27" s="30">
        <f t="shared" si="6"/>
        <v>4</v>
      </c>
      <c r="G27" s="30">
        <f t="shared" si="6"/>
        <v>5</v>
      </c>
      <c r="H27" s="30">
        <f t="shared" si="6"/>
        <v>6</v>
      </c>
      <c r="I27" s="30">
        <f t="shared" si="6"/>
        <v>7</v>
      </c>
      <c r="J27" s="30">
        <f t="shared" si="6"/>
        <v>8</v>
      </c>
      <c r="K27" s="30">
        <f t="shared" si="6"/>
        <v>9</v>
      </c>
      <c r="L27" s="30">
        <f t="shared" si="6"/>
        <v>10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16"/>
      <c r="B28" s="107" t="str">
        <f>'Income Statement'!B4</f>
        <v>(YE 31-Dec, USDm)</v>
      </c>
      <c r="C28" s="109">
        <f>'Income Statement'!H4</f>
        <v>2012</v>
      </c>
      <c r="D28" s="109">
        <f>'Income Statement'!I4</f>
        <v>2013</v>
      </c>
      <c r="E28" s="109">
        <f>'Income Statement'!J4</f>
        <v>2014</v>
      </c>
      <c r="F28" s="109">
        <f>'Income Statement'!K4</f>
        <v>2015</v>
      </c>
      <c r="G28" s="109">
        <f>'Income Statement'!L4</f>
        <v>2016</v>
      </c>
      <c r="H28" s="109">
        <f>'Income Statement'!M4</f>
        <v>2017</v>
      </c>
      <c r="I28" s="109">
        <f>'Income Statement'!N4</f>
        <v>2018</v>
      </c>
      <c r="J28" s="109">
        <f>'Income Statement'!O4</f>
        <v>2019</v>
      </c>
      <c r="K28" s="109">
        <f>'Income Statement'!P4</f>
        <v>2020</v>
      </c>
      <c r="L28" s="109">
        <f>'Income Statement'!Q4</f>
        <v>2021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16"/>
      <c r="B29" s="16" t="s">
        <v>109</v>
      </c>
      <c r="C29" s="30">
        <f>+D9</f>
        <v>176.247</v>
      </c>
      <c r="D29" s="30">
        <f t="shared" ref="D29:L29" si="7">+C32</f>
        <v>176.247</v>
      </c>
      <c r="E29" s="30">
        <f t="shared" si="7"/>
        <v>176.247</v>
      </c>
      <c r="F29" s="30">
        <f t="shared" si="7"/>
        <v>176.247</v>
      </c>
      <c r="G29" s="30">
        <f t="shared" si="7"/>
        <v>176.247</v>
      </c>
      <c r="H29" s="30">
        <f t="shared" si="7"/>
        <v>176.247</v>
      </c>
      <c r="I29" s="30">
        <f t="shared" si="7"/>
        <v>176.247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16"/>
      <c r="B30" s="37" t="s">
        <v>110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16"/>
      <c r="B31" s="37" t="s">
        <v>115</v>
      </c>
      <c r="C31" s="30">
        <v>0.0</v>
      </c>
      <c r="D31" s="30">
        <v>0.0</v>
      </c>
      <c r="E31" s="30">
        <v>0.0</v>
      </c>
      <c r="F31" s="30">
        <v>0.0</v>
      </c>
      <c r="G31" s="30">
        <v>0.0</v>
      </c>
      <c r="H31" s="30">
        <v>0.0</v>
      </c>
      <c r="I31" s="31">
        <f>-I29</f>
        <v>-176.247</v>
      </c>
      <c r="J31" s="31"/>
      <c r="K31" s="31"/>
      <c r="L31" s="3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18"/>
      <c r="B32" s="66" t="s">
        <v>113</v>
      </c>
      <c r="C32" s="67">
        <f t="shared" ref="C32:L32" si="8">+C29+C30+C31</f>
        <v>176.247</v>
      </c>
      <c r="D32" s="67">
        <f t="shared" si="8"/>
        <v>176.247</v>
      </c>
      <c r="E32" s="67">
        <f t="shared" si="8"/>
        <v>176.247</v>
      </c>
      <c r="F32" s="67">
        <f t="shared" si="8"/>
        <v>176.247</v>
      </c>
      <c r="G32" s="67">
        <f t="shared" si="8"/>
        <v>176.247</v>
      </c>
      <c r="H32" s="67">
        <f t="shared" si="8"/>
        <v>176.247</v>
      </c>
      <c r="I32" s="67">
        <f t="shared" si="8"/>
        <v>0</v>
      </c>
      <c r="J32" s="67">
        <f t="shared" si="8"/>
        <v>0</v>
      </c>
      <c r="K32" s="67">
        <f t="shared" si="8"/>
        <v>0</v>
      </c>
      <c r="L32" s="67">
        <f t="shared" si="8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2.75" customHeight="1">
      <c r="A33" s="18"/>
      <c r="B33" s="36"/>
      <c r="C33" s="32"/>
      <c r="D33" s="32"/>
      <c r="E33" s="32"/>
      <c r="F33" s="32"/>
      <c r="G33" s="32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2.75" customHeight="1">
      <c r="A34" s="16"/>
      <c r="B34" s="110" t="s">
        <v>116</v>
      </c>
      <c r="C34" s="111">
        <f>+E9</f>
        <v>0.055</v>
      </c>
      <c r="D34" s="32"/>
      <c r="E34" s="32"/>
      <c r="F34" s="32"/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16"/>
      <c r="B35" s="3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16"/>
      <c r="B36" s="110" t="s">
        <v>51</v>
      </c>
      <c r="C36" s="112">
        <f t="shared" ref="C36:I36" si="9">+C29*$C$34</f>
        <v>9.693585</v>
      </c>
      <c r="D36" s="112">
        <f t="shared" si="9"/>
        <v>9.693585</v>
      </c>
      <c r="E36" s="112">
        <f t="shared" si="9"/>
        <v>9.693585</v>
      </c>
      <c r="F36" s="112">
        <f t="shared" si="9"/>
        <v>9.693585</v>
      </c>
      <c r="G36" s="112">
        <f t="shared" si="9"/>
        <v>9.693585</v>
      </c>
      <c r="H36" s="112">
        <f t="shared" si="9"/>
        <v>9.693585</v>
      </c>
      <c r="I36" s="112">
        <f t="shared" si="9"/>
        <v>9.693585</v>
      </c>
      <c r="J36" s="112"/>
      <c r="K36" s="112"/>
      <c r="L36" s="113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16"/>
      <c r="B37" s="3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16"/>
      <c r="B38" s="37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16"/>
      <c r="B39" s="3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16"/>
      <c r="B40" s="172" t="s">
        <v>156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16"/>
      <c r="B41" s="37"/>
      <c r="C41" s="30">
        <v>1.0</v>
      </c>
      <c r="D41" s="30">
        <f t="shared" ref="D41:L41" si="10">+C41+1</f>
        <v>2</v>
      </c>
      <c r="E41" s="30">
        <f t="shared" si="10"/>
        <v>3</v>
      </c>
      <c r="F41" s="30">
        <f t="shared" si="10"/>
        <v>4</v>
      </c>
      <c r="G41" s="30">
        <f t="shared" si="10"/>
        <v>5</v>
      </c>
      <c r="H41" s="30">
        <f t="shared" si="10"/>
        <v>6</v>
      </c>
      <c r="I41" s="30">
        <f t="shared" si="10"/>
        <v>7</v>
      </c>
      <c r="J41" s="30">
        <f t="shared" si="10"/>
        <v>8</v>
      </c>
      <c r="K41" s="30">
        <f t="shared" si="10"/>
        <v>9</v>
      </c>
      <c r="L41" s="30">
        <f t="shared" si="10"/>
        <v>10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16"/>
      <c r="B42" s="107" t="str">
        <f t="shared" ref="B42:L42" si="11">+B28</f>
        <v>(YE 31-Dec, USDm)</v>
      </c>
      <c r="C42" s="109">
        <f t="shared" si="11"/>
        <v>2012</v>
      </c>
      <c r="D42" s="109">
        <f t="shared" si="11"/>
        <v>2013</v>
      </c>
      <c r="E42" s="109">
        <f t="shared" si="11"/>
        <v>2014</v>
      </c>
      <c r="F42" s="109">
        <f t="shared" si="11"/>
        <v>2015</v>
      </c>
      <c r="G42" s="109">
        <f t="shared" si="11"/>
        <v>2016</v>
      </c>
      <c r="H42" s="109">
        <f t="shared" si="11"/>
        <v>2017</v>
      </c>
      <c r="I42" s="109">
        <f t="shared" si="11"/>
        <v>2018</v>
      </c>
      <c r="J42" s="109">
        <f t="shared" si="11"/>
        <v>2019</v>
      </c>
      <c r="K42" s="109">
        <f t="shared" si="11"/>
        <v>2020</v>
      </c>
      <c r="L42" s="109">
        <f t="shared" si="11"/>
        <v>2021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18"/>
      <c r="B43" s="16" t="s">
        <v>109</v>
      </c>
      <c r="C43" s="30">
        <f>+D10</f>
        <v>58.749</v>
      </c>
      <c r="D43" s="30">
        <f t="shared" ref="D43:L43" si="12">+C46</f>
        <v>58.749</v>
      </c>
      <c r="E43" s="30">
        <f t="shared" si="12"/>
        <v>58.749</v>
      </c>
      <c r="F43" s="30">
        <f t="shared" si="12"/>
        <v>58.749</v>
      </c>
      <c r="G43" s="30">
        <f t="shared" si="12"/>
        <v>58.749</v>
      </c>
      <c r="H43" s="30">
        <f t="shared" si="12"/>
        <v>58.749</v>
      </c>
      <c r="I43" s="30">
        <f t="shared" si="12"/>
        <v>58.749</v>
      </c>
      <c r="J43" s="30">
        <f t="shared" si="12"/>
        <v>58.749</v>
      </c>
      <c r="K43" s="30">
        <f t="shared" si="12"/>
        <v>0</v>
      </c>
      <c r="L43" s="30">
        <f t="shared" si="12"/>
        <v>0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75" customHeight="1">
      <c r="A44" s="18"/>
      <c r="B44" s="37" t="s">
        <v>110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75" customHeight="1">
      <c r="A45" s="18"/>
      <c r="B45" s="37" t="s">
        <v>115</v>
      </c>
      <c r="C45" s="30">
        <v>0.0</v>
      </c>
      <c r="D45" s="30">
        <v>0.0</v>
      </c>
      <c r="E45" s="30">
        <v>0.0</v>
      </c>
      <c r="F45" s="30">
        <v>0.0</v>
      </c>
      <c r="G45" s="30">
        <v>0.0</v>
      </c>
      <c r="H45" s="30">
        <v>0.0</v>
      </c>
      <c r="I45" s="30">
        <v>0.0</v>
      </c>
      <c r="J45" s="31">
        <f>-J43</f>
        <v>-58.749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75" customHeight="1">
      <c r="A46" s="16"/>
      <c r="B46" s="66" t="s">
        <v>113</v>
      </c>
      <c r="C46" s="67">
        <f t="shared" ref="C46:L46" si="13">+C43+C44+C45</f>
        <v>58.749</v>
      </c>
      <c r="D46" s="67">
        <f t="shared" si="13"/>
        <v>58.749</v>
      </c>
      <c r="E46" s="67">
        <f t="shared" si="13"/>
        <v>58.749</v>
      </c>
      <c r="F46" s="67">
        <f t="shared" si="13"/>
        <v>58.749</v>
      </c>
      <c r="G46" s="67">
        <f t="shared" si="13"/>
        <v>58.749</v>
      </c>
      <c r="H46" s="67">
        <f t="shared" si="13"/>
        <v>58.749</v>
      </c>
      <c r="I46" s="67">
        <f t="shared" si="13"/>
        <v>58.749</v>
      </c>
      <c r="J46" s="67">
        <f t="shared" si="13"/>
        <v>0</v>
      </c>
      <c r="K46" s="67">
        <f t="shared" si="13"/>
        <v>0</v>
      </c>
      <c r="L46" s="67">
        <f t="shared" si="13"/>
        <v>0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16"/>
      <c r="B47" s="36"/>
      <c r="C47" s="32"/>
      <c r="D47" s="32"/>
      <c r="E47" s="32"/>
      <c r="F47" s="32"/>
      <c r="G47" s="32"/>
      <c r="H47" s="31"/>
      <c r="I47" s="31"/>
      <c r="J47" s="31"/>
      <c r="K47" s="31"/>
      <c r="L47" s="31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16"/>
      <c r="B48" s="110" t="s">
        <v>116</v>
      </c>
      <c r="C48" s="111">
        <f>+E10</f>
        <v>0.075</v>
      </c>
      <c r="D48" s="32"/>
      <c r="E48" s="32"/>
      <c r="F48" s="32"/>
      <c r="G48" s="32"/>
      <c r="H48" s="31"/>
      <c r="I48" s="31"/>
      <c r="J48" s="31"/>
      <c r="K48" s="31"/>
      <c r="L48" s="31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16"/>
      <c r="B49" s="3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16"/>
      <c r="B50" s="110" t="s">
        <v>51</v>
      </c>
      <c r="C50" s="112">
        <f t="shared" ref="C50:I50" si="14">+C43*$C$34</f>
        <v>3.231195</v>
      </c>
      <c r="D50" s="112">
        <f t="shared" si="14"/>
        <v>3.231195</v>
      </c>
      <c r="E50" s="112">
        <f t="shared" si="14"/>
        <v>3.231195</v>
      </c>
      <c r="F50" s="112">
        <f t="shared" si="14"/>
        <v>3.231195</v>
      </c>
      <c r="G50" s="112">
        <f t="shared" si="14"/>
        <v>3.231195</v>
      </c>
      <c r="H50" s="112">
        <f t="shared" si="14"/>
        <v>3.231195</v>
      </c>
      <c r="I50" s="112">
        <f t="shared" si="14"/>
        <v>3.231195</v>
      </c>
      <c r="J50" s="112"/>
      <c r="K50" s="112"/>
      <c r="L50" s="113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16"/>
      <c r="B51" s="37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16"/>
      <c r="B52" s="172" t="s">
        <v>157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16"/>
      <c r="B53" s="3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16"/>
      <c r="B54" s="107" t="str">
        <f t="shared" ref="B54:L54" si="15">+B42</f>
        <v>(YE 31-Dec, USDm)</v>
      </c>
      <c r="C54" s="109">
        <f t="shared" si="15"/>
        <v>2012</v>
      </c>
      <c r="D54" s="109">
        <f t="shared" si="15"/>
        <v>2013</v>
      </c>
      <c r="E54" s="109">
        <f t="shared" si="15"/>
        <v>2014</v>
      </c>
      <c r="F54" s="109">
        <f t="shared" si="15"/>
        <v>2015</v>
      </c>
      <c r="G54" s="109">
        <f t="shared" si="15"/>
        <v>2016</v>
      </c>
      <c r="H54" s="109">
        <f t="shared" si="15"/>
        <v>2017</v>
      </c>
      <c r="I54" s="109">
        <f t="shared" si="15"/>
        <v>2018</v>
      </c>
      <c r="J54" s="109">
        <f t="shared" si="15"/>
        <v>2019</v>
      </c>
      <c r="K54" s="109">
        <f t="shared" si="15"/>
        <v>2020</v>
      </c>
      <c r="L54" s="109">
        <f t="shared" si="15"/>
        <v>2021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18"/>
      <c r="B55" s="3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75" customHeight="1">
      <c r="A56" s="16"/>
      <c r="B56" s="16" t="s">
        <v>158</v>
      </c>
      <c r="C56" s="30">
        <f t="shared" ref="C56:L56" si="16">-(+C36+C50)</f>
        <v>-12.92478</v>
      </c>
      <c r="D56" s="30">
        <f t="shared" si="16"/>
        <v>-12.92478</v>
      </c>
      <c r="E56" s="30">
        <f t="shared" si="16"/>
        <v>-12.92478</v>
      </c>
      <c r="F56" s="30">
        <f t="shared" si="16"/>
        <v>-12.92478</v>
      </c>
      <c r="G56" s="30">
        <f t="shared" si="16"/>
        <v>-12.92478</v>
      </c>
      <c r="H56" s="30">
        <f t="shared" si="16"/>
        <v>-12.92478</v>
      </c>
      <c r="I56" s="30">
        <f t="shared" si="16"/>
        <v>-12.92478</v>
      </c>
      <c r="J56" s="30">
        <f t="shared" si="16"/>
        <v>0</v>
      </c>
      <c r="K56" s="30">
        <f t="shared" si="16"/>
        <v>0</v>
      </c>
      <c r="L56" s="30">
        <f t="shared" si="16"/>
        <v>0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16"/>
      <c r="B57" s="16" t="s">
        <v>159</v>
      </c>
      <c r="C57" s="30">
        <f t="shared" ref="C57:L57" si="17">+C31+C45</f>
        <v>0</v>
      </c>
      <c r="D57" s="30">
        <f t="shared" si="17"/>
        <v>0</v>
      </c>
      <c r="E57" s="30">
        <f t="shared" si="17"/>
        <v>0</v>
      </c>
      <c r="F57" s="30">
        <f t="shared" si="17"/>
        <v>0</v>
      </c>
      <c r="G57" s="30">
        <f t="shared" si="17"/>
        <v>0</v>
      </c>
      <c r="H57" s="30">
        <f t="shared" si="17"/>
        <v>0</v>
      </c>
      <c r="I57" s="30">
        <f t="shared" si="17"/>
        <v>-176.247</v>
      </c>
      <c r="J57" s="30">
        <f t="shared" si="17"/>
        <v>-58.749</v>
      </c>
      <c r="K57" s="30">
        <f t="shared" si="17"/>
        <v>0</v>
      </c>
      <c r="L57" s="30">
        <f t="shared" si="17"/>
        <v>0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16"/>
      <c r="B58" s="16" t="s">
        <v>160</v>
      </c>
      <c r="C58" s="30">
        <f t="shared" ref="C58:L58" si="18">+C32+C46</f>
        <v>234.996</v>
      </c>
      <c r="D58" s="30">
        <f t="shared" si="18"/>
        <v>234.996</v>
      </c>
      <c r="E58" s="30">
        <f t="shared" si="18"/>
        <v>234.996</v>
      </c>
      <c r="F58" s="30">
        <f t="shared" si="18"/>
        <v>234.996</v>
      </c>
      <c r="G58" s="30">
        <f t="shared" si="18"/>
        <v>234.996</v>
      </c>
      <c r="H58" s="30">
        <f t="shared" si="18"/>
        <v>234.996</v>
      </c>
      <c r="I58" s="30">
        <f t="shared" si="18"/>
        <v>58.749</v>
      </c>
      <c r="J58" s="30">
        <f t="shared" si="18"/>
        <v>0</v>
      </c>
      <c r="K58" s="30">
        <f t="shared" si="18"/>
        <v>0</v>
      </c>
      <c r="L58" s="30">
        <f t="shared" si="18"/>
        <v>0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18"/>
      <c r="B59" s="18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75" customHeight="1">
      <c r="A60" s="16"/>
      <c r="B60" s="1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16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16"/>
      <c r="B62" s="1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16"/>
      <c r="B63" s="1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16"/>
      <c r="B64" s="16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18"/>
      <c r="B65" s="18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16"/>
      <c r="B66" s="1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16"/>
      <c r="B67" s="27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16"/>
      <c r="B68" s="1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16"/>
      <c r="B69" s="1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16"/>
      <c r="B71" s="1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16"/>
      <c r="B72" s="1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16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16"/>
      <c r="B74" s="1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16"/>
      <c r="B75" s="1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16"/>
      <c r="B76" s="27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18"/>
      <c r="B77" s="18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16"/>
      <c r="B78" s="16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16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16"/>
      <c r="B80" s="1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18"/>
      <c r="B81" s="18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16"/>
      <c r="B82" s="1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18"/>
      <c r="B84" s="18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16"/>
      <c r="B85" s="1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16"/>
      <c r="B86" s="27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16"/>
      <c r="B87" s="1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16"/>
      <c r="B88" s="16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16"/>
      <c r="B89" s="27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16"/>
      <c r="B90" s="16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16"/>
      <c r="B91" s="27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16"/>
      <c r="B92" s="1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16"/>
      <c r="B93" s="1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16"/>
      <c r="B94" s="16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16"/>
      <c r="B95" s="16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16"/>
      <c r="B96" s="27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16"/>
      <c r="B97" s="16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16"/>
      <c r="B98" s="1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16"/>
      <c r="B99" s="1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16"/>
      <c r="B100" s="16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16"/>
      <c r="B102" s="1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16"/>
      <c r="B103" s="1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16"/>
      <c r="B104" s="16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16"/>
      <c r="B105" s="16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16"/>
      <c r="B106" s="1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16"/>
      <c r="B107" s="1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16"/>
      <c r="B108" s="16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16"/>
      <c r="B109" s="16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16"/>
      <c r="B110" s="16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16"/>
      <c r="B111" s="16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16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16"/>
      <c r="B113" s="16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16"/>
      <c r="B114" s="16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16"/>
      <c r="B115" s="16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16"/>
      <c r="B116" s="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16"/>
      <c r="B117" s="1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16"/>
      <c r="B118" s="1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16"/>
      <c r="B120" s="16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16"/>
      <c r="B121" s="16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16"/>
      <c r="B122" s="16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16"/>
      <c r="B123" s="16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16"/>
      <c r="B124" s="16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16"/>
      <c r="B125" s="16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16"/>
      <c r="B126" s="1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16"/>
      <c r="B127" s="16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16"/>
      <c r="B128" s="16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16"/>
      <c r="B129" s="16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16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16"/>
      <c r="B131" s="16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16"/>
      <c r="B132" s="1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16"/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16"/>
      <c r="B134" s="1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16"/>
      <c r="B135" s="16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16"/>
      <c r="B136" s="1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16"/>
      <c r="B137" s="16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16"/>
      <c r="B138" s="16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16"/>
      <c r="B139" s="16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16"/>
      <c r="B140" s="16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16"/>
      <c r="B141" s="16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16"/>
      <c r="B142" s="16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16"/>
      <c r="B143" s="16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16"/>
      <c r="B144" s="16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16"/>
      <c r="B145" s="16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16"/>
      <c r="B146" s="1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16"/>
      <c r="B147" s="16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16"/>
      <c r="B148" s="16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16"/>
      <c r="B149" s="16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16"/>
      <c r="B150" s="16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16"/>
      <c r="B151" s="16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16"/>
      <c r="B152" s="16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16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16"/>
      <c r="B154" s="16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16"/>
      <c r="B155" s="16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16"/>
      <c r="B156" s="1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16"/>
      <c r="B157" s="16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16"/>
      <c r="B158" s="16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16"/>
      <c r="B159" s="16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16"/>
      <c r="B160" s="16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16"/>
      <c r="B161" s="16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16"/>
      <c r="B162" s="16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16"/>
      <c r="B163" s="16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16"/>
      <c r="B164" s="16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16"/>
      <c r="B165" s="16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16"/>
      <c r="B166" s="1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16"/>
      <c r="B167" s="16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16"/>
      <c r="B168" s="16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16"/>
      <c r="B169" s="16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16"/>
      <c r="B170" s="16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16"/>
      <c r="B171" s="16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16"/>
      <c r="B172" s="16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16"/>
      <c r="B173" s="16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16"/>
      <c r="B174" s="16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16"/>
      <c r="B175" s="1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16"/>
      <c r="B176" s="1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16"/>
      <c r="B177" s="16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16"/>
      <c r="B178" s="16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16"/>
      <c r="B179" s="1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16"/>
      <c r="B180" s="1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16"/>
      <c r="B181" s="1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16"/>
      <c r="B182" s="1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16"/>
      <c r="B183" s="16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16"/>
      <c r="B184" s="16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16"/>
      <c r="B185" s="16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16"/>
      <c r="B186" s="1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16"/>
      <c r="B187" s="16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16"/>
      <c r="B188" s="1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16"/>
      <c r="B189" s="16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16"/>
      <c r="B190" s="16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16"/>
      <c r="B191" s="16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16"/>
      <c r="B192" s="16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16"/>
      <c r="B193" s="16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16"/>
      <c r="B194" s="16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16"/>
      <c r="B195" s="16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16"/>
      <c r="B196" s="1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16"/>
      <c r="B197" s="16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16"/>
      <c r="B198" s="16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16"/>
      <c r="B199" s="16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16"/>
      <c r="B200" s="16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16"/>
      <c r="B201" s="16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16"/>
      <c r="B202" s="16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16"/>
      <c r="B203" s="16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16"/>
      <c r="B204" s="16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16"/>
      <c r="B205" s="16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16"/>
      <c r="B206" s="1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16"/>
      <c r="B207" s="16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16"/>
      <c r="B208" s="16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16"/>
      <c r="B209" s="16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16"/>
      <c r="B210" s="16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16"/>
      <c r="B211" s="1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16"/>
      <c r="B212" s="1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16"/>
      <c r="B213" s="1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16"/>
      <c r="B214" s="1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16"/>
      <c r="B215" s="1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16"/>
      <c r="B216" s="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16"/>
      <c r="B217" s="1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16"/>
      <c r="B218" s="1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16"/>
      <c r="B219" s="1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16"/>
      <c r="B220" s="1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16"/>
      <c r="B221" s="1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16"/>
      <c r="B222" s="1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16"/>
      <c r="B223" s="1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16"/>
      <c r="B224" s="1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16"/>
      <c r="B225" s="1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16"/>
      <c r="B226" s="1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16"/>
      <c r="B227" s="1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16"/>
      <c r="B228" s="1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16"/>
      <c r="B229" s="1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16"/>
      <c r="B230" s="1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16"/>
      <c r="B231" s="1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16"/>
      <c r="B232" s="1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16"/>
      <c r="B233" s="1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16"/>
      <c r="B234" s="1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16"/>
      <c r="B235" s="1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16"/>
      <c r="B236" s="1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16"/>
      <c r="B237" s="1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16"/>
      <c r="B238" s="1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16"/>
      <c r="B239" s="1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16"/>
      <c r="B240" s="1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16"/>
      <c r="B241" s="1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16"/>
      <c r="B242" s="1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16"/>
      <c r="B243" s="1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16"/>
      <c r="B244" s="1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16"/>
      <c r="B245" s="1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16"/>
      <c r="B246" s="1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16"/>
      <c r="B247" s="1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16"/>
      <c r="B248" s="1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16"/>
      <c r="B249" s="1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16"/>
      <c r="B250" s="1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16"/>
      <c r="B251" s="1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16"/>
      <c r="B252" s="1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16"/>
      <c r="B253" s="1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16"/>
      <c r="B254" s="1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16"/>
      <c r="B255" s="1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16"/>
      <c r="B256" s="1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16"/>
      <c r="B257" s="1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16"/>
      <c r="B258" s="1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16"/>
      <c r="B259" s="1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16"/>
      <c r="B260" s="1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16"/>
      <c r="B261" s="1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16"/>
      <c r="B262" s="1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16"/>
      <c r="B263" s="1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16"/>
      <c r="B264" s="1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16"/>
      <c r="B265" s="1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16"/>
      <c r="B266" s="1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16"/>
      <c r="B267" s="1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16"/>
      <c r="B268" s="1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16"/>
      <c r="B269" s="1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16"/>
      <c r="B270" s="1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16"/>
      <c r="B271" s="1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16"/>
      <c r="B272" s="1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16"/>
      <c r="B273" s="1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16"/>
      <c r="B274" s="1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16"/>
      <c r="B275" s="1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16"/>
      <c r="B276" s="1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16"/>
      <c r="B277" s="1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16"/>
      <c r="B278" s="1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16"/>
      <c r="B279" s="1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16"/>
      <c r="B280" s="1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16"/>
      <c r="B281" s="1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16"/>
      <c r="B282" s="1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16"/>
      <c r="B283" s="1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16"/>
      <c r="B284" s="1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16"/>
      <c r="B285" s="1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16"/>
      <c r="B286" s="1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16"/>
      <c r="B287" s="1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16"/>
      <c r="B288" s="1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16"/>
      <c r="B289" s="1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16"/>
      <c r="B290" s="1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16"/>
      <c r="B291" s="1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16"/>
      <c r="B292" s="1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16"/>
      <c r="B293" s="1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16"/>
      <c r="B294" s="1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16"/>
      <c r="B295" s="1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16"/>
      <c r="B296" s="1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16"/>
      <c r="B297" s="1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16"/>
      <c r="B298" s="1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16"/>
      <c r="B299" s="1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16"/>
      <c r="B300" s="1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16"/>
      <c r="B301" s="1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16"/>
      <c r="B302" s="1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16"/>
      <c r="B303" s="1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16"/>
      <c r="B304" s="1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16"/>
      <c r="B305" s="1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16"/>
      <c r="B306" s="1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16"/>
      <c r="B307" s="1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16"/>
      <c r="B308" s="1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16"/>
      <c r="B309" s="1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16"/>
      <c r="B310" s="1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16"/>
      <c r="B311" s="1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16"/>
      <c r="B312" s="1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16"/>
      <c r="B313" s="1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16"/>
      <c r="B314" s="1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16"/>
      <c r="B315" s="1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16"/>
      <c r="B316" s="1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16"/>
      <c r="B317" s="1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16"/>
      <c r="B318" s="1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16"/>
      <c r="B319" s="1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16"/>
      <c r="B320" s="1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16"/>
      <c r="B321" s="1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16"/>
      <c r="B322" s="1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16"/>
      <c r="B323" s="1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16"/>
      <c r="B324" s="1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16"/>
      <c r="B325" s="1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16"/>
      <c r="B326" s="1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16"/>
      <c r="B327" s="1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16"/>
      <c r="B328" s="1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16"/>
      <c r="B329" s="1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16"/>
      <c r="B330" s="1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16"/>
      <c r="B331" s="1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16"/>
      <c r="B332" s="1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16"/>
      <c r="B333" s="1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16"/>
      <c r="B334" s="1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16"/>
      <c r="B335" s="1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16"/>
      <c r="B336" s="1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16"/>
      <c r="B337" s="1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16"/>
      <c r="B338" s="1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16"/>
      <c r="B339" s="1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16"/>
      <c r="B340" s="1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16"/>
      <c r="B341" s="1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16"/>
      <c r="B342" s="1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16"/>
      <c r="B343" s="1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16"/>
      <c r="B344" s="1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16"/>
      <c r="B345" s="1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16"/>
      <c r="B346" s="1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16"/>
      <c r="B347" s="1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16"/>
      <c r="B348" s="1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16"/>
      <c r="B349" s="1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16"/>
      <c r="B350" s="1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16"/>
      <c r="B351" s="1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16"/>
      <c r="B352" s="1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16"/>
      <c r="B353" s="1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16"/>
      <c r="B354" s="1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16"/>
      <c r="B355" s="1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16"/>
      <c r="B356" s="1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16"/>
      <c r="B357" s="1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16"/>
      <c r="B358" s="1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16"/>
      <c r="B359" s="1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16"/>
      <c r="B360" s="1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16"/>
      <c r="B361" s="1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16"/>
      <c r="B362" s="1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16"/>
      <c r="B363" s="1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16"/>
      <c r="B364" s="1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16"/>
      <c r="B365" s="1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16"/>
      <c r="B366" s="1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16"/>
      <c r="B367" s="1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16"/>
      <c r="B368" s="1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16"/>
      <c r="B369" s="1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16"/>
      <c r="B370" s="1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16"/>
      <c r="B371" s="1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16"/>
      <c r="B372" s="1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16"/>
      <c r="B373" s="1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16"/>
      <c r="B374" s="1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16"/>
      <c r="B375" s="1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16"/>
      <c r="B376" s="1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16"/>
      <c r="B377" s="1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16"/>
      <c r="B378" s="1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16"/>
      <c r="B379" s="1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16"/>
      <c r="B380" s="1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16"/>
      <c r="B381" s="1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16"/>
      <c r="B382" s="1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16"/>
      <c r="B383" s="1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16"/>
      <c r="B384" s="1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16"/>
      <c r="B385" s="1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16"/>
      <c r="B386" s="1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16"/>
      <c r="B387" s="1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16"/>
      <c r="B388" s="1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16"/>
      <c r="B389" s="1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16"/>
      <c r="B390" s="1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16"/>
      <c r="B391" s="1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16"/>
      <c r="B392" s="1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16"/>
      <c r="B393" s="1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16"/>
      <c r="B394" s="1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16"/>
      <c r="B395" s="1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16"/>
      <c r="B396" s="1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16"/>
      <c r="B397" s="1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16"/>
      <c r="B398" s="1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16"/>
      <c r="B399" s="1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16"/>
      <c r="B400" s="1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16"/>
      <c r="B401" s="1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16"/>
      <c r="B402" s="1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16"/>
      <c r="B403" s="1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16"/>
      <c r="B404" s="1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16"/>
      <c r="B405" s="1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16"/>
      <c r="B406" s="1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16"/>
      <c r="B407" s="1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16"/>
      <c r="B408" s="1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16"/>
      <c r="B409" s="1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16"/>
      <c r="B410" s="1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16"/>
      <c r="B411" s="1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16"/>
      <c r="B412" s="1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16"/>
      <c r="B413" s="1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16"/>
      <c r="B414" s="1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16"/>
      <c r="B415" s="1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16"/>
      <c r="B416" s="1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16"/>
      <c r="B417" s="1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16"/>
      <c r="B418" s="1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16"/>
      <c r="B419" s="1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16"/>
      <c r="B420" s="1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16"/>
      <c r="B421" s="1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16"/>
      <c r="B422" s="1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16"/>
      <c r="B423" s="1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16"/>
      <c r="B424" s="1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16"/>
      <c r="B425" s="1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16"/>
      <c r="B426" s="1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16"/>
      <c r="B427" s="1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16"/>
      <c r="B428" s="1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16"/>
      <c r="B429" s="1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16"/>
      <c r="B430" s="1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16"/>
      <c r="B431" s="1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16"/>
      <c r="B432" s="1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16"/>
      <c r="B433" s="1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16"/>
      <c r="B434" s="1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16"/>
      <c r="B435" s="1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16"/>
      <c r="B436" s="1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16"/>
      <c r="B437" s="1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16"/>
      <c r="B438" s="1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16"/>
      <c r="B439" s="1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16"/>
      <c r="B440" s="1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16"/>
      <c r="B441" s="1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16"/>
      <c r="B442" s="1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16"/>
      <c r="B443" s="1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16"/>
      <c r="B444" s="1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16"/>
      <c r="B445" s="1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16"/>
      <c r="B446" s="1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16"/>
      <c r="B447" s="1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16"/>
      <c r="B448" s="1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16"/>
      <c r="B449" s="1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16"/>
      <c r="B450" s="1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16"/>
      <c r="B451" s="1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16"/>
      <c r="B452" s="1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16"/>
      <c r="B453" s="1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16"/>
      <c r="B454" s="1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16"/>
      <c r="B455" s="1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16"/>
      <c r="B456" s="1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16"/>
      <c r="B457" s="1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16"/>
      <c r="B458" s="1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16"/>
      <c r="B459" s="1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16"/>
      <c r="B460" s="1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16"/>
      <c r="B461" s="1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16"/>
      <c r="B462" s="1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16"/>
      <c r="B463" s="1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16"/>
      <c r="B464" s="1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16"/>
      <c r="B465" s="1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16"/>
      <c r="B466" s="1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16"/>
      <c r="B467" s="1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16"/>
      <c r="B468" s="1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16"/>
      <c r="B469" s="1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16"/>
      <c r="B470" s="1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16"/>
      <c r="B471" s="1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16"/>
      <c r="B472" s="1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16"/>
      <c r="B473" s="1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16"/>
      <c r="B474" s="1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16"/>
      <c r="B475" s="1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16"/>
      <c r="B476" s="1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16"/>
      <c r="B477" s="1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16"/>
      <c r="B478" s="1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16"/>
      <c r="B479" s="1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16"/>
      <c r="B480" s="1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16"/>
      <c r="B481" s="1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16"/>
      <c r="B482" s="1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16"/>
      <c r="B483" s="1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16"/>
      <c r="B484" s="1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16"/>
      <c r="B485" s="1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16"/>
      <c r="B486" s="1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16"/>
      <c r="B487" s="1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16"/>
      <c r="B488" s="1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16"/>
      <c r="B489" s="1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16"/>
      <c r="B490" s="1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16"/>
      <c r="B491" s="1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16"/>
      <c r="B492" s="1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16"/>
      <c r="B493" s="1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16"/>
      <c r="B494" s="1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16"/>
      <c r="B495" s="1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16"/>
      <c r="B496" s="1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16"/>
      <c r="B497" s="1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16"/>
      <c r="B498" s="1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16"/>
      <c r="B499" s="1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16"/>
      <c r="B500" s="1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16"/>
      <c r="B501" s="1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16"/>
      <c r="B502" s="1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16"/>
      <c r="B503" s="1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16"/>
      <c r="B504" s="1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16"/>
      <c r="B505" s="1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16"/>
      <c r="B506" s="1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16"/>
      <c r="B507" s="1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16"/>
      <c r="B508" s="1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16"/>
      <c r="B509" s="1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16"/>
      <c r="B510" s="1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16"/>
      <c r="B511" s="1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16"/>
      <c r="B512" s="1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16"/>
      <c r="B513" s="1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16"/>
      <c r="B514" s="1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16"/>
      <c r="B515" s="1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16"/>
      <c r="B516" s="1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16"/>
      <c r="B517" s="1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16"/>
      <c r="B518" s="1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16"/>
      <c r="B519" s="1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16"/>
      <c r="B520" s="1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16"/>
      <c r="B521" s="1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16"/>
      <c r="B522" s="1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16"/>
      <c r="B523" s="1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16"/>
      <c r="B524" s="1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16"/>
      <c r="B525" s="1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16"/>
      <c r="B526" s="1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16"/>
      <c r="B527" s="1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16"/>
      <c r="B528" s="1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16"/>
      <c r="B529" s="1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16"/>
      <c r="B530" s="1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16"/>
      <c r="B531" s="1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16"/>
      <c r="B532" s="1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16"/>
      <c r="B533" s="1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16"/>
      <c r="B534" s="1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16"/>
      <c r="B535" s="1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16"/>
      <c r="B536" s="1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16"/>
      <c r="B537" s="1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16"/>
      <c r="B538" s="1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16"/>
      <c r="B539" s="1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16"/>
      <c r="B540" s="1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16"/>
      <c r="B541" s="1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16"/>
      <c r="B542" s="1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16"/>
      <c r="B543" s="1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16"/>
      <c r="B544" s="1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16"/>
      <c r="B545" s="1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16"/>
      <c r="B546" s="1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16"/>
      <c r="B547" s="1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16"/>
      <c r="B548" s="1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16"/>
      <c r="B549" s="1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16"/>
      <c r="B550" s="1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16"/>
      <c r="B551" s="1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16"/>
      <c r="B552" s="1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16"/>
      <c r="B553" s="1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16"/>
      <c r="B554" s="1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16"/>
      <c r="B555" s="1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16"/>
      <c r="B556" s="1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16"/>
      <c r="B557" s="1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16"/>
      <c r="B558" s="1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16"/>
      <c r="B559" s="1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16"/>
      <c r="B560" s="1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16"/>
      <c r="B561" s="1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16"/>
      <c r="B562" s="1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16"/>
      <c r="B563" s="1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16"/>
      <c r="B564" s="1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16"/>
      <c r="B565" s="1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16"/>
      <c r="B566" s="1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16"/>
      <c r="B567" s="1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16"/>
      <c r="B568" s="1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16"/>
      <c r="B569" s="1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16"/>
      <c r="B570" s="1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16"/>
      <c r="B571" s="1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16"/>
      <c r="B572" s="1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16"/>
      <c r="B573" s="1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16"/>
      <c r="B574" s="1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16"/>
      <c r="B575" s="1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16"/>
      <c r="B576" s="1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16"/>
      <c r="B577" s="1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16"/>
      <c r="B578" s="1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16"/>
      <c r="B579" s="1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16"/>
      <c r="B580" s="1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16"/>
      <c r="B581" s="1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16"/>
      <c r="B582" s="1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16"/>
      <c r="B583" s="1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16"/>
      <c r="B584" s="1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16"/>
      <c r="B585" s="1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16"/>
      <c r="B586" s="1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16"/>
      <c r="B587" s="1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16"/>
      <c r="B588" s="1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16"/>
      <c r="B589" s="1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16"/>
      <c r="B590" s="1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16"/>
      <c r="B591" s="1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16"/>
      <c r="B592" s="1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16"/>
      <c r="B593" s="1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16"/>
      <c r="B594" s="1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16"/>
      <c r="B595" s="1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16"/>
      <c r="B596" s="1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16"/>
      <c r="B597" s="1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16"/>
      <c r="B598" s="1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16"/>
      <c r="B599" s="1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16"/>
      <c r="B600" s="1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16"/>
      <c r="B601" s="1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16"/>
      <c r="B602" s="1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16"/>
      <c r="B603" s="1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16"/>
      <c r="B604" s="1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16"/>
      <c r="B605" s="1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16"/>
      <c r="B606" s="1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16"/>
      <c r="B607" s="1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16"/>
      <c r="B608" s="1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16"/>
      <c r="B609" s="1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16"/>
      <c r="B610" s="1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16"/>
      <c r="B611" s="1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16"/>
      <c r="B612" s="1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16"/>
      <c r="B613" s="1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16"/>
      <c r="B614" s="1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16"/>
      <c r="B615" s="1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16"/>
      <c r="B616" s="1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16"/>
      <c r="B617" s="1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16"/>
      <c r="B618" s="1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16"/>
      <c r="B619" s="1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16"/>
      <c r="B620" s="1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16"/>
      <c r="B621" s="1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16"/>
      <c r="B622" s="1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16"/>
      <c r="B623" s="1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16"/>
      <c r="B624" s="1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16"/>
      <c r="B625" s="1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16"/>
      <c r="B626" s="1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16"/>
      <c r="B627" s="1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16"/>
      <c r="B628" s="1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16"/>
      <c r="B629" s="1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16"/>
      <c r="B630" s="1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16"/>
      <c r="B631" s="1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16"/>
      <c r="B632" s="1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16"/>
      <c r="B633" s="1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16"/>
      <c r="B634" s="1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16"/>
      <c r="B635" s="1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16"/>
      <c r="B636" s="1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16"/>
      <c r="B637" s="1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16"/>
      <c r="B638" s="1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16"/>
      <c r="B639" s="1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16"/>
      <c r="B640" s="1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16"/>
      <c r="B641" s="1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16"/>
      <c r="B642" s="1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16"/>
      <c r="B643" s="1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16"/>
      <c r="B644" s="1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16"/>
      <c r="B645" s="1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16"/>
      <c r="B646" s="1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16"/>
      <c r="B647" s="1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16"/>
      <c r="B648" s="1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16"/>
      <c r="B649" s="1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16"/>
      <c r="B650" s="1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16"/>
      <c r="B651" s="1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16"/>
      <c r="B652" s="1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16"/>
      <c r="B653" s="1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16"/>
      <c r="B654" s="1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16"/>
      <c r="B655" s="1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16"/>
      <c r="B656" s="1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16"/>
      <c r="B657" s="1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16"/>
      <c r="B658" s="1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16"/>
      <c r="B659" s="1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16"/>
      <c r="B660" s="1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16"/>
      <c r="B661" s="1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16"/>
      <c r="B662" s="1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16"/>
      <c r="B663" s="1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16"/>
      <c r="B664" s="1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16"/>
      <c r="B665" s="1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16"/>
      <c r="B666" s="1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16"/>
      <c r="B667" s="1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16"/>
      <c r="B668" s="1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16"/>
      <c r="B669" s="1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16"/>
      <c r="B670" s="1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16"/>
      <c r="B671" s="1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16"/>
      <c r="B672" s="1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16"/>
      <c r="B673" s="1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16"/>
      <c r="B674" s="1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16"/>
      <c r="B675" s="1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16"/>
      <c r="B676" s="1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16"/>
      <c r="B677" s="1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16"/>
      <c r="B678" s="1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16"/>
      <c r="B679" s="1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16"/>
      <c r="B680" s="1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16"/>
      <c r="B681" s="1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16"/>
      <c r="B682" s="1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16"/>
      <c r="B683" s="1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16"/>
      <c r="B684" s="1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16"/>
      <c r="B685" s="1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16"/>
      <c r="B686" s="1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16"/>
      <c r="B687" s="1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16"/>
      <c r="B688" s="1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16"/>
      <c r="B689" s="1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16"/>
      <c r="B690" s="1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16"/>
      <c r="B691" s="1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16"/>
      <c r="B692" s="1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16"/>
      <c r="B693" s="1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16"/>
      <c r="B694" s="1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16"/>
      <c r="B695" s="1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16"/>
      <c r="B696" s="1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16"/>
      <c r="B697" s="1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16"/>
      <c r="B698" s="1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16"/>
      <c r="B699" s="1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16"/>
      <c r="B700" s="1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16"/>
      <c r="B701" s="1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16"/>
      <c r="B702" s="1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16"/>
      <c r="B703" s="1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16"/>
      <c r="B704" s="1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16"/>
      <c r="B705" s="1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16"/>
      <c r="B706" s="1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16"/>
      <c r="B707" s="1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16"/>
      <c r="B708" s="1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16"/>
      <c r="B709" s="1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16"/>
      <c r="B710" s="1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16"/>
      <c r="B711" s="1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16"/>
      <c r="B712" s="1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16"/>
      <c r="B713" s="1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16"/>
      <c r="B714" s="1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16"/>
      <c r="B715" s="1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16"/>
      <c r="B716" s="1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16"/>
      <c r="B717" s="1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16"/>
      <c r="B718" s="1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16"/>
      <c r="B719" s="1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16"/>
      <c r="B720" s="1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16"/>
      <c r="B721" s="1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16"/>
      <c r="B722" s="1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16"/>
      <c r="B723" s="1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16"/>
      <c r="B724" s="1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16"/>
      <c r="B725" s="1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16"/>
      <c r="B726" s="1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16"/>
      <c r="B727" s="1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16"/>
      <c r="B728" s="1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16"/>
      <c r="B729" s="1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16"/>
      <c r="B730" s="1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16"/>
      <c r="B731" s="1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16"/>
      <c r="B732" s="1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16"/>
      <c r="B733" s="1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16"/>
      <c r="B734" s="1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16"/>
      <c r="B735" s="1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16"/>
      <c r="B736" s="1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16"/>
      <c r="B737" s="1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16"/>
      <c r="B738" s="1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16"/>
      <c r="B739" s="1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16"/>
      <c r="B740" s="1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16"/>
      <c r="B741" s="1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16"/>
      <c r="B742" s="1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16"/>
      <c r="B743" s="1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16"/>
      <c r="B744" s="1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16"/>
      <c r="B745" s="1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16"/>
      <c r="B746" s="1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16"/>
      <c r="B747" s="1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16"/>
      <c r="B748" s="1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16"/>
      <c r="B749" s="1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16"/>
      <c r="B750" s="1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16"/>
      <c r="B751" s="1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16"/>
      <c r="B752" s="1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16"/>
      <c r="B753" s="1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16"/>
      <c r="B754" s="1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16"/>
      <c r="B755" s="1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16"/>
      <c r="B756" s="1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16"/>
      <c r="B757" s="1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16"/>
      <c r="B758" s="1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16"/>
      <c r="B759" s="1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16"/>
      <c r="B760" s="1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16"/>
      <c r="B761" s="1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16"/>
      <c r="B762" s="1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16"/>
      <c r="B763" s="1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16"/>
      <c r="B764" s="1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16"/>
      <c r="B765" s="1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16"/>
      <c r="B766" s="1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16"/>
      <c r="B767" s="1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16"/>
      <c r="B768" s="1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16"/>
      <c r="B769" s="1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16"/>
      <c r="B770" s="1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16"/>
      <c r="B771" s="1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16"/>
      <c r="B772" s="1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16"/>
      <c r="B773" s="1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16"/>
      <c r="B774" s="1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16"/>
      <c r="B775" s="1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16"/>
      <c r="B776" s="1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16"/>
      <c r="B777" s="1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16"/>
      <c r="B778" s="1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16"/>
      <c r="B779" s="1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16"/>
      <c r="B780" s="1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16"/>
      <c r="B781" s="1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16"/>
      <c r="B782" s="1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16"/>
      <c r="B783" s="1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16"/>
      <c r="B784" s="1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16"/>
      <c r="B785" s="1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16"/>
      <c r="B786" s="1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16"/>
      <c r="B787" s="1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16"/>
      <c r="B788" s="1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16"/>
      <c r="B789" s="1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16"/>
      <c r="B790" s="1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16"/>
      <c r="B791" s="1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16"/>
      <c r="B792" s="1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16"/>
      <c r="B793" s="1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16"/>
      <c r="B794" s="1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16"/>
      <c r="B795" s="1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16"/>
      <c r="B796" s="1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16"/>
      <c r="B797" s="1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16"/>
      <c r="B798" s="1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16"/>
      <c r="B799" s="1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16"/>
      <c r="B800" s="1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16"/>
      <c r="B801" s="1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16"/>
      <c r="B802" s="1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16"/>
      <c r="B803" s="1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16"/>
      <c r="B804" s="1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16"/>
      <c r="B805" s="1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16"/>
      <c r="B806" s="1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16"/>
      <c r="B807" s="1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16"/>
      <c r="B808" s="1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16"/>
      <c r="B809" s="1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16"/>
      <c r="B810" s="1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16"/>
      <c r="B811" s="1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16"/>
      <c r="B812" s="1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16"/>
      <c r="B813" s="1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16"/>
      <c r="B814" s="1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16"/>
      <c r="B815" s="1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16"/>
      <c r="B816" s="1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16"/>
      <c r="B817" s="1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16"/>
      <c r="B818" s="1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16"/>
      <c r="B819" s="1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16"/>
      <c r="B820" s="1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16"/>
      <c r="B821" s="1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16"/>
      <c r="B822" s="1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16"/>
      <c r="B823" s="1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16"/>
      <c r="B824" s="1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16"/>
      <c r="B825" s="1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16"/>
      <c r="B826" s="1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16"/>
      <c r="B827" s="1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16"/>
      <c r="B828" s="1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16"/>
      <c r="B829" s="1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16"/>
      <c r="B830" s="1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16"/>
      <c r="B831" s="1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16"/>
      <c r="B832" s="1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16"/>
      <c r="B833" s="1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16"/>
      <c r="B834" s="1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16"/>
      <c r="B835" s="1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16"/>
      <c r="B836" s="1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16"/>
      <c r="B837" s="1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16"/>
      <c r="B838" s="1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16"/>
      <c r="B839" s="1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16"/>
      <c r="B840" s="1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16"/>
      <c r="B841" s="1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16"/>
      <c r="B842" s="1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16"/>
      <c r="B843" s="1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16"/>
      <c r="B844" s="1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16"/>
      <c r="B845" s="1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16"/>
      <c r="B846" s="1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16"/>
      <c r="B847" s="1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16"/>
      <c r="B848" s="1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16"/>
      <c r="B849" s="1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16"/>
      <c r="B850" s="1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16"/>
      <c r="B851" s="1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16"/>
      <c r="B852" s="1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16"/>
      <c r="B853" s="1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16"/>
      <c r="B854" s="1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16"/>
      <c r="B855" s="1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16"/>
      <c r="B856" s="1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16"/>
      <c r="B857" s="1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16"/>
      <c r="B858" s="1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16"/>
      <c r="B859" s="1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16"/>
      <c r="B860" s="1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16"/>
      <c r="B861" s="1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16"/>
      <c r="B862" s="1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16"/>
      <c r="B863" s="1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16"/>
      <c r="B864" s="1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16"/>
      <c r="B865" s="1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16"/>
      <c r="B866" s="1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16"/>
      <c r="B867" s="1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16"/>
      <c r="B868" s="1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16"/>
      <c r="B869" s="1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16"/>
      <c r="B870" s="1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16"/>
      <c r="B871" s="1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16"/>
      <c r="B872" s="1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16"/>
      <c r="B873" s="1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16"/>
      <c r="B874" s="1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16"/>
      <c r="B875" s="1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16"/>
      <c r="B876" s="1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16"/>
      <c r="B877" s="1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16"/>
      <c r="B878" s="1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16"/>
      <c r="B879" s="1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16"/>
      <c r="B880" s="1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16"/>
      <c r="B881" s="1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16"/>
      <c r="B882" s="1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16"/>
      <c r="B883" s="1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16"/>
      <c r="B884" s="1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16"/>
      <c r="B885" s="1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16"/>
      <c r="B886" s="1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16"/>
      <c r="B887" s="1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16"/>
      <c r="B888" s="1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16"/>
      <c r="B889" s="1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16"/>
      <c r="B890" s="1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16"/>
      <c r="B891" s="1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16"/>
      <c r="B892" s="1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16"/>
      <c r="B893" s="1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16"/>
      <c r="B894" s="1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16"/>
      <c r="B895" s="1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16"/>
      <c r="B896" s="1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16"/>
      <c r="B897" s="1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16"/>
      <c r="B898" s="1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16"/>
      <c r="B899" s="1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16"/>
      <c r="B900" s="1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16"/>
      <c r="B901" s="1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16"/>
      <c r="B902" s="1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16"/>
      <c r="B903" s="1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16"/>
      <c r="B904" s="1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16"/>
      <c r="B905" s="1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16"/>
      <c r="B906" s="1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16"/>
      <c r="B907" s="1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16"/>
      <c r="B908" s="1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16"/>
      <c r="B909" s="1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16"/>
      <c r="B910" s="1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16"/>
      <c r="B911" s="1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16"/>
      <c r="B912" s="1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16"/>
      <c r="B913" s="1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16"/>
      <c r="B914" s="1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16"/>
      <c r="B915" s="1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16"/>
      <c r="B916" s="1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16"/>
      <c r="B917" s="1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16"/>
      <c r="B918" s="1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16"/>
      <c r="B919" s="1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16"/>
      <c r="B920" s="1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16"/>
      <c r="B921" s="1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16"/>
      <c r="B922" s="1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16"/>
      <c r="B923" s="1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16"/>
      <c r="B924" s="1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16"/>
      <c r="B925" s="1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16"/>
      <c r="B926" s="1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16"/>
      <c r="B927" s="1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16"/>
      <c r="B928" s="1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16"/>
      <c r="B929" s="1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16"/>
      <c r="B930" s="1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16"/>
      <c r="B931" s="1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16"/>
      <c r="B932" s="1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16"/>
      <c r="B933" s="1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16"/>
      <c r="B934" s="1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16"/>
      <c r="B935" s="1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16"/>
      <c r="B936" s="1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16"/>
      <c r="B937" s="1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16"/>
      <c r="B938" s="1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16"/>
      <c r="B939" s="1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16"/>
      <c r="B940" s="1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16"/>
      <c r="B941" s="1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16"/>
      <c r="B942" s="1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16"/>
      <c r="B943" s="1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16"/>
      <c r="B944" s="1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16"/>
      <c r="B945" s="1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16"/>
      <c r="B946" s="1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16"/>
      <c r="B947" s="1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16"/>
      <c r="B948" s="1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16"/>
      <c r="B949" s="1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16"/>
      <c r="B950" s="1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16"/>
      <c r="B951" s="1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16"/>
      <c r="B952" s="1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16"/>
      <c r="B953" s="1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16"/>
      <c r="B954" s="1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16"/>
      <c r="B955" s="1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16"/>
      <c r="B956" s="1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16"/>
      <c r="B957" s="1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16"/>
      <c r="B958" s="1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16"/>
      <c r="B959" s="1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16"/>
      <c r="B960" s="1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16"/>
      <c r="B961" s="1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16"/>
      <c r="B962" s="1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16"/>
      <c r="B963" s="1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16"/>
      <c r="B964" s="1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16"/>
      <c r="B965" s="1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16"/>
      <c r="B966" s="1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16"/>
      <c r="B967" s="1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16"/>
      <c r="B968" s="1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16"/>
      <c r="B969" s="1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16"/>
      <c r="B970" s="1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16"/>
      <c r="B971" s="1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16"/>
      <c r="B972" s="1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16"/>
      <c r="B973" s="1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16"/>
      <c r="B974" s="1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16"/>
      <c r="B975" s="1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16"/>
      <c r="B976" s="1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16"/>
      <c r="B977" s="1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16"/>
      <c r="B978" s="1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16"/>
      <c r="B979" s="1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16"/>
      <c r="B980" s="1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16"/>
      <c r="B981" s="1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16"/>
      <c r="B982" s="1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16"/>
      <c r="B983" s="1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16"/>
      <c r="B984" s="1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16"/>
      <c r="B985" s="1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16"/>
      <c r="B986" s="1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16"/>
      <c r="B987" s="1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16"/>
      <c r="B988" s="1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16"/>
      <c r="B989" s="1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16"/>
      <c r="B990" s="1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16"/>
      <c r="B991" s="1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16"/>
      <c r="B992" s="1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16"/>
      <c r="B993" s="1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16"/>
      <c r="B994" s="1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16"/>
      <c r="B995" s="1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16"/>
      <c r="B996" s="1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16"/>
      <c r="B997" s="1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16"/>
      <c r="B998" s="1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16"/>
      <c r="B999" s="1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16"/>
      <c r="B1000" s="1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1.0" footer="0.0" header="0.0" left="0.75" right="0.75" top="1.0"/>
  <pageSetup paperSize="9" scale="63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0"/>
    <col customWidth="1" min="2" max="26" width="7.75"/>
  </cols>
  <sheetData>
    <row r="1">
      <c r="A1" s="116" t="s">
        <v>118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>
      <c r="A2" s="116" t="s">
        <v>161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>
      <c r="A4" s="119" t="str">
        <f>'Balance Sheet'!B4</f>
        <v>(YE 31-Dec, USDm)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>
      <c r="A5" s="118"/>
      <c r="B5" s="118"/>
      <c r="C5" s="118"/>
      <c r="D5" s="121">
        <v>1.0</v>
      </c>
      <c r="E5" s="121">
        <v>2.0</v>
      </c>
      <c r="F5" s="121">
        <v>3.0</v>
      </c>
      <c r="G5" s="121">
        <f t="shared" ref="G5:M5" si="1">+F5+1</f>
        <v>4</v>
      </c>
      <c r="H5" s="121">
        <f t="shared" si="1"/>
        <v>5</v>
      </c>
      <c r="I5" s="121">
        <f t="shared" si="1"/>
        <v>6</v>
      </c>
      <c r="J5" s="121">
        <f t="shared" si="1"/>
        <v>7</v>
      </c>
      <c r="K5" s="121">
        <f t="shared" si="1"/>
        <v>8</v>
      </c>
      <c r="L5" s="121">
        <f t="shared" si="1"/>
        <v>9</v>
      </c>
      <c r="M5" s="121">
        <f t="shared" si="1"/>
        <v>10</v>
      </c>
    </row>
    <row r="6">
      <c r="A6" s="118"/>
      <c r="B6" s="118"/>
      <c r="C6" s="21">
        <f>+'Balance Sheet'!G4</f>
        <v>2011</v>
      </c>
      <c r="D6" s="22">
        <f>+'Balance Sheet'!I4</f>
        <v>2012</v>
      </c>
      <c r="E6" s="23">
        <f>+'Balance Sheet'!J4</f>
        <v>2013</v>
      </c>
      <c r="F6" s="23">
        <f>+'Balance Sheet'!K4</f>
        <v>2014</v>
      </c>
      <c r="G6" s="23">
        <f>+'Balance Sheet'!L4</f>
        <v>2015</v>
      </c>
      <c r="H6" s="23">
        <f>+'Balance Sheet'!M4</f>
        <v>2016</v>
      </c>
      <c r="I6" s="23">
        <f>+'Balance Sheet'!N4</f>
        <v>2017</v>
      </c>
      <c r="J6" s="23">
        <f>+'Balance Sheet'!O4</f>
        <v>2018</v>
      </c>
      <c r="K6" s="23">
        <f>+'Balance Sheet'!P4</f>
        <v>2019</v>
      </c>
      <c r="L6" s="23">
        <f>+'Balance Sheet'!Q4</f>
        <v>2020</v>
      </c>
      <c r="M6" s="23">
        <f>+'Balance Sheet'!R4</f>
        <v>2021</v>
      </c>
      <c r="N6" s="118"/>
      <c r="O6" s="118"/>
      <c r="P6" s="118"/>
      <c r="Q6" s="118"/>
      <c r="R6" s="118"/>
      <c r="S6" s="118"/>
      <c r="T6" s="118"/>
      <c r="U6" s="118"/>
    </row>
    <row r="7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>
      <c r="A8" s="125" t="s">
        <v>162</v>
      </c>
      <c r="B8" s="125"/>
      <c r="C8" s="126"/>
      <c r="D8" s="98">
        <f>+'LBO Modelling'!C23</f>
        <v>23.17323926</v>
      </c>
      <c r="E8" s="98">
        <f>+'LBO Modelling'!D23</f>
        <v>25.8738155</v>
      </c>
      <c r="F8" s="98">
        <f>+'LBO Modelling'!E23</f>
        <v>30.62192055</v>
      </c>
      <c r="G8" s="98">
        <f>+'LBO Modelling'!F23</f>
        <v>35.57399299</v>
      </c>
      <c r="H8" s="98">
        <f>+'LBO Modelling'!G23</f>
        <v>41.78823246</v>
      </c>
      <c r="I8" s="98">
        <f>+'LBO Modelling'!H23</f>
        <v>47.08513345</v>
      </c>
      <c r="J8" s="98">
        <f>+'LBO Modelling'!I23</f>
        <v>0</v>
      </c>
      <c r="K8" s="98">
        <f>+'LBO Modelling'!J23</f>
        <v>7.130063334</v>
      </c>
      <c r="L8" s="98">
        <f>+'LBO Modelling'!K23</f>
        <v>67.56646629</v>
      </c>
      <c r="M8" s="98">
        <f>+'LBO Modelling'!L23</f>
        <v>67.8671029</v>
      </c>
      <c r="N8" s="118"/>
      <c r="O8" s="118"/>
      <c r="P8" s="118"/>
      <c r="Q8" s="118"/>
      <c r="R8" s="118"/>
      <c r="S8" s="118"/>
      <c r="T8" s="118"/>
      <c r="U8" s="118"/>
    </row>
    <row r="9">
      <c r="A9" s="127"/>
      <c r="B9" s="127"/>
      <c r="C9" s="128"/>
      <c r="D9" s="30"/>
      <c r="E9" s="30"/>
      <c r="F9" s="30"/>
      <c r="G9" s="30"/>
      <c r="H9" s="30"/>
      <c r="I9" s="30"/>
      <c r="J9" s="30"/>
      <c r="K9" s="30"/>
      <c r="L9" s="30"/>
      <c r="M9" s="30"/>
      <c r="N9" s="118"/>
      <c r="O9" s="118"/>
      <c r="P9" s="118"/>
      <c r="Q9" s="118"/>
      <c r="R9" s="118"/>
      <c r="S9" s="118"/>
      <c r="T9" s="118"/>
      <c r="U9" s="118"/>
    </row>
    <row r="10">
      <c r="A10" s="129" t="s">
        <v>123</v>
      </c>
      <c r="B10" s="129"/>
      <c r="C10" s="129"/>
      <c r="D10" s="31">
        <f t="shared" ref="D10:M10" si="2">1/((1+$C$14)^D5)</f>
        <v>0.8695652174</v>
      </c>
      <c r="E10" s="31">
        <f t="shared" si="2"/>
        <v>0.7561436673</v>
      </c>
      <c r="F10" s="31">
        <f t="shared" si="2"/>
        <v>0.6575162324</v>
      </c>
      <c r="G10" s="31">
        <f t="shared" si="2"/>
        <v>0.5717532456</v>
      </c>
      <c r="H10" s="31">
        <f t="shared" si="2"/>
        <v>0.4971767353</v>
      </c>
      <c r="I10" s="31">
        <f t="shared" si="2"/>
        <v>0.4323275959</v>
      </c>
      <c r="J10" s="31">
        <f t="shared" si="2"/>
        <v>0.3759370399</v>
      </c>
      <c r="K10" s="31">
        <f t="shared" si="2"/>
        <v>0.3269017738</v>
      </c>
      <c r="L10" s="31">
        <f t="shared" si="2"/>
        <v>0.284262412</v>
      </c>
      <c r="M10" s="31">
        <f t="shared" si="2"/>
        <v>0.2471847061</v>
      </c>
      <c r="N10" s="118"/>
      <c r="O10" s="118"/>
      <c r="P10" s="118"/>
      <c r="Q10" s="118"/>
      <c r="R10" s="118"/>
      <c r="S10" s="118"/>
      <c r="T10" s="118"/>
      <c r="U10" s="118"/>
    </row>
    <row r="11">
      <c r="A11" s="118"/>
      <c r="B11" s="118"/>
      <c r="C11" s="11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8"/>
      <c r="O11" s="118"/>
      <c r="P11" s="118"/>
      <c r="Q11" s="118"/>
      <c r="R11" s="118"/>
      <c r="S11" s="118"/>
      <c r="T11" s="118"/>
      <c r="U11" s="118"/>
    </row>
    <row r="12">
      <c r="A12" s="118" t="s">
        <v>124</v>
      </c>
      <c r="B12" s="118"/>
      <c r="C12" s="118"/>
      <c r="D12" s="30">
        <f t="shared" ref="D12:M12" si="3">+D8*D10</f>
        <v>20.15064283</v>
      </c>
      <c r="E12" s="30">
        <f t="shared" si="3"/>
        <v>19.56432174</v>
      </c>
      <c r="F12" s="30">
        <f t="shared" si="3"/>
        <v>20.13440983</v>
      </c>
      <c r="G12" s="30">
        <f t="shared" si="3"/>
        <v>20.33954595</v>
      </c>
      <c r="H12" s="30">
        <f t="shared" si="3"/>
        <v>20.77613699</v>
      </c>
      <c r="I12" s="30">
        <f t="shared" si="3"/>
        <v>20.35620255</v>
      </c>
      <c r="J12" s="30">
        <f t="shared" si="3"/>
        <v>0</v>
      </c>
      <c r="K12" s="30">
        <f t="shared" si="3"/>
        <v>2.330830351</v>
      </c>
      <c r="L12" s="30">
        <f t="shared" si="3"/>
        <v>19.20660668</v>
      </c>
      <c r="M12" s="30">
        <f t="shared" si="3"/>
        <v>16.77570988</v>
      </c>
      <c r="N12" s="118"/>
      <c r="O12" s="118"/>
      <c r="P12" s="118"/>
      <c r="Q12" s="118"/>
      <c r="R12" s="118"/>
      <c r="S12" s="118"/>
      <c r="T12" s="118"/>
      <c r="U12" s="118"/>
    </row>
    <row r="13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>
      <c r="A14" s="130" t="s">
        <v>163</v>
      </c>
      <c r="B14" s="131"/>
      <c r="C14" s="132">
        <f>+'WACC Calculation'!C7</f>
        <v>0.15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>
      <c r="A15" s="133" t="s">
        <v>126</v>
      </c>
      <c r="B15" s="127"/>
      <c r="C15" s="134">
        <f>+DCF!C27</f>
        <v>0.02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>
      <c r="A16" s="135"/>
      <c r="B16" s="118"/>
      <c r="C16" s="136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>
      <c r="A17" s="135"/>
      <c r="B17" s="118"/>
      <c r="C17" s="13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>
      <c r="A18" s="133" t="s">
        <v>127</v>
      </c>
      <c r="B18" s="127"/>
      <c r="C18" s="77">
        <f>(M8*(1+C14))/(C14-C15)</f>
        <v>600.3628333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>
      <c r="A19" s="135" t="s">
        <v>128</v>
      </c>
      <c r="B19" s="118"/>
      <c r="C19" s="77">
        <f>C18*M10</f>
        <v>148.4005105</v>
      </c>
      <c r="D19" s="118"/>
      <c r="E19" s="118"/>
      <c r="F19" s="138"/>
      <c r="G19" s="138"/>
      <c r="H19" s="138"/>
      <c r="I19" s="138"/>
      <c r="J19" s="13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>
      <c r="A20" s="135"/>
      <c r="B20" s="118"/>
      <c r="C20" s="77"/>
      <c r="D20" s="118"/>
      <c r="E20" s="118"/>
      <c r="F20" s="138"/>
      <c r="G20" s="138"/>
      <c r="H20" s="138"/>
      <c r="I20" s="138"/>
      <c r="J20" s="13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ht="15.75" customHeight="1">
      <c r="A21" s="135" t="s">
        <v>129</v>
      </c>
      <c r="B21" s="118"/>
      <c r="C21" s="77">
        <f>SUM(D12:M12)</f>
        <v>159.6344068</v>
      </c>
      <c r="D21" s="118"/>
      <c r="E21" s="118"/>
      <c r="F21" s="138"/>
      <c r="G21" s="138"/>
      <c r="H21" s="138"/>
      <c r="I21" s="138"/>
      <c r="J21" s="13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ht="15.75" customHeight="1">
      <c r="A22" s="135"/>
      <c r="B22" s="118"/>
      <c r="C22" s="77"/>
      <c r="D22" s="118"/>
      <c r="E22" s="118"/>
      <c r="F22" s="138"/>
      <c r="G22" s="138"/>
      <c r="H22" s="138"/>
      <c r="I22" s="138"/>
      <c r="J22" s="13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ht="15.75" customHeight="1">
      <c r="A23" s="133" t="s">
        <v>132</v>
      </c>
      <c r="B23" s="127"/>
      <c r="C23" s="139">
        <f>+C19+C21</f>
        <v>308.0349173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ht="15.75" customHeight="1">
      <c r="A24" s="135" t="s">
        <v>90</v>
      </c>
      <c r="B24" s="118"/>
      <c r="C24" s="77">
        <f>+'Balance Sheet'!H23</f>
        <v>234.996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ht="15.75" customHeight="1">
      <c r="A25" s="135" t="s">
        <v>131</v>
      </c>
      <c r="B25" s="118"/>
      <c r="C25" s="77">
        <v>0.0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ht="15.75" customHeight="1">
      <c r="A26" s="141" t="s">
        <v>147</v>
      </c>
      <c r="B26" s="142"/>
      <c r="C26" s="143">
        <f>+C23+C24</f>
        <v>543.0309173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ht="15.75" customHeight="1">
      <c r="A27" s="123"/>
      <c r="B27" s="123"/>
      <c r="C27" s="30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ht="15.75" customHeight="1">
      <c r="A28" s="130" t="s">
        <v>133</v>
      </c>
      <c r="B28" s="131"/>
      <c r="C28" s="144">
        <f>+C26/DCF!D8</f>
        <v>13.70450996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ht="15.75" customHeight="1">
      <c r="A29" s="141" t="s">
        <v>134</v>
      </c>
      <c r="B29" s="142"/>
      <c r="C29" s="145">
        <f>+C26/DCF!D12</f>
        <v>15.36788703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ht="15.7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46"/>
      <c r="Q30" s="8"/>
      <c r="R30" s="8"/>
      <c r="S30" s="8"/>
      <c r="T30" s="8"/>
      <c r="U30" s="9"/>
    </row>
    <row r="31" ht="15.7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Q31" s="147" t="s">
        <v>135</v>
      </c>
      <c r="R31" s="8"/>
      <c r="S31" s="8"/>
      <c r="T31" s="8"/>
      <c r="U31" s="9"/>
    </row>
    <row r="32" ht="15.7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48" t="s">
        <v>125</v>
      </c>
      <c r="R32" s="8"/>
      <c r="S32" s="8"/>
      <c r="T32" s="8"/>
      <c r="U32" s="9"/>
    </row>
    <row r="33" ht="15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49">
        <f>C26</f>
        <v>543.0309173</v>
      </c>
      <c r="Q33" s="150">
        <f t="shared" ref="Q33:R33" si="4">+R33-0.01</f>
        <v>0.13</v>
      </c>
      <c r="R33" s="150">
        <f t="shared" si="4"/>
        <v>0.14</v>
      </c>
      <c r="S33" s="150">
        <v>0.15</v>
      </c>
      <c r="T33" s="150">
        <f t="shared" ref="T33:U33" si="5">+S33+0.01</f>
        <v>0.16</v>
      </c>
      <c r="U33" s="150">
        <f t="shared" si="5"/>
        <v>0.17</v>
      </c>
    </row>
    <row r="34" ht="15.7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51" t="s">
        <v>126</v>
      </c>
      <c r="P34" s="152">
        <f t="shared" ref="P34:P35" si="6">+P35-0.005</f>
        <v>0.01</v>
      </c>
      <c r="Q34" s="153">
        <v>597.5366778826763</v>
      </c>
      <c r="R34" s="83">
        <v>562.2383112561304</v>
      </c>
      <c r="S34" s="83">
        <v>532.4308808600265</v>
      </c>
      <c r="T34" s="83">
        <v>506.9868015076591</v>
      </c>
      <c r="U34" s="75">
        <v>485.062287228772</v>
      </c>
    </row>
    <row r="35" ht="15.7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54"/>
      <c r="P35" s="152">
        <f t="shared" si="6"/>
        <v>0.015</v>
      </c>
      <c r="Q35" s="155">
        <v>605.7221594914013</v>
      </c>
      <c r="R35" s="156">
        <v>568.659749163578</v>
      </c>
      <c r="S35" s="156">
        <v>537.5346021213302</v>
      </c>
      <c r="T35" s="156">
        <v>511.0892973583862</v>
      </c>
      <c r="U35" s="77">
        <v>488.3927522615387</v>
      </c>
    </row>
    <row r="36" ht="15.7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54"/>
      <c r="P36" s="152">
        <v>0.02</v>
      </c>
      <c r="Q36" s="155">
        <v>614.6517757918284</v>
      </c>
      <c r="R36" s="156">
        <v>575.6163068966462</v>
      </c>
      <c r="S36" s="157">
        <v>543.0309173258112</v>
      </c>
      <c r="T36" s="156">
        <v>515.4848286270226</v>
      </c>
      <c r="U36" s="77">
        <v>491.9452482964899</v>
      </c>
    </row>
    <row r="37" ht="15.7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54"/>
      <c r="P37" s="152">
        <f t="shared" ref="P37:P38" si="7">+P36+0.005</f>
        <v>0.025</v>
      </c>
      <c r="Q37" s="155">
        <v>624.4318317399154</v>
      </c>
      <c r="R37" s="156">
        <v>583.1777826934594</v>
      </c>
      <c r="S37" s="156">
        <v>548.9669377466505</v>
      </c>
      <c r="T37" s="156">
        <v>520.2059548044466</v>
      </c>
      <c r="U37" s="77">
        <v>495.7427440579895</v>
      </c>
    </row>
    <row r="38" ht="15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58"/>
      <c r="P38" s="152">
        <f t="shared" si="7"/>
        <v>0.03</v>
      </c>
      <c r="Q38" s="159">
        <v>635.1898932828112</v>
      </c>
      <c r="R38" s="160">
        <v>591.4266653808922</v>
      </c>
      <c r="S38" s="160">
        <v>555.3976265358933</v>
      </c>
      <c r="T38" s="160">
        <v>525.2902445339803</v>
      </c>
      <c r="U38" s="161">
        <v>499.8114895167391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P30:U30"/>
    <mergeCell ref="Q31:U31"/>
    <mergeCell ref="Q32:U32"/>
    <mergeCell ref="O34:O38"/>
  </mergeCells>
  <printOptions/>
  <pageMargins bottom="1.0" footer="0.0" header="0.0" left="0.75" right="0.75" top="1.0"/>
  <pageSetup paperSize="9" scale="42" orientation="portrait"/>
  <drawing r:id="rId1"/>
</worksheet>
</file>