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DM Model for Firms With Stable" sheetId="1" r:id="rId4"/>
    <sheet state="visible" name="Two-Stage DDM Model for Firms W" sheetId="2" r:id="rId5"/>
    <sheet state="visible" name="Three-Stage DDM Model for Firms" sheetId="3" r:id="rId6"/>
  </sheets>
  <definedNames/>
  <calcPr/>
</workbook>
</file>

<file path=xl/sharedStrings.xml><?xml version="1.0" encoding="utf-8"?>
<sst xmlns="http://schemas.openxmlformats.org/spreadsheetml/2006/main" count="310" uniqueCount="151">
  <si>
    <t>GORDON GROWTH MODEL</t>
  </si>
  <si>
    <t>This model is designed to value the equity in a stable firm paying</t>
  </si>
  <si>
    <t>dividends, which are roughly equal to Free Cashflows to</t>
  </si>
  <si>
    <t>Equity.</t>
  </si>
  <si>
    <t>Assumptions in the model:</t>
  </si>
  <si>
    <t>1. The firm is in steady state and will grow at a stable rate forever.</t>
  </si>
  <si>
    <t>2. The firm pays out what it can afford to in dividends, i.e., Dividends = FCFE.</t>
  </si>
  <si>
    <t>User defined inputs</t>
  </si>
  <si>
    <t>The user has to define the following inputs to the model:</t>
  </si>
  <si>
    <t>1. Current Earnings per share and Payout ratio (Dividends/Earnings)</t>
  </si>
  <si>
    <t>2. Cost of Equity or Inputs to the CAPM (Beta, Riskfree rate, Risk Premium)</t>
  </si>
  <si>
    <t>3. Expected Growth Rate in Earnings and dividends forever.</t>
  </si>
  <si>
    <t>Please enter inputs to the model:</t>
  </si>
  <si>
    <t>Current Earnings per share =</t>
  </si>
  <si>
    <t>(in currency)</t>
  </si>
  <si>
    <t>Current Payout Ratio =</t>
  </si>
  <si>
    <t>(in percent)</t>
  </si>
  <si>
    <t>Are you directly entering the cost of equity? (Yes or No)</t>
  </si>
  <si>
    <t>No</t>
  </si>
  <si>
    <t>If yes, enter cost of equity =</t>
  </si>
  <si>
    <t>If no, enter the inputs for the CAPM</t>
  </si>
  <si>
    <t>Beta of the stock =</t>
  </si>
  <si>
    <t>Riskfree rate =</t>
  </si>
  <si>
    <t>Risk Premium=</t>
  </si>
  <si>
    <t>Expected Growth Rate =</t>
  </si>
  <si>
    <t xml:space="preserve"> (in percent)</t>
  </si>
  <si>
    <t>The expected growth rate for a stable firm</t>
  </si>
  <si>
    <t>cannot be significantly higher than the nominal</t>
  </si>
  <si>
    <t>growth rate in the economy in which the firm</t>
  </si>
  <si>
    <t>operates. It can be lower.</t>
  </si>
  <si>
    <t>Warnings:</t>
  </si>
  <si>
    <t>This is the output from the Gordon Growth Model</t>
  </si>
  <si>
    <t>Firm Details: from inputs on prior page</t>
  </si>
  <si>
    <t>Current Dividends per share =</t>
  </si>
  <si>
    <t>Cost of Equity =</t>
  </si>
  <si>
    <t>Expected Growth rate =</t>
  </si>
  <si>
    <t>Gordon Growth Model Value =</t>
  </si>
  <si>
    <t>Growth rate</t>
  </si>
  <si>
    <t>Value</t>
  </si>
  <si>
    <t>Two-Stage Dividend Discount Model</t>
  </si>
  <si>
    <t>This model is designed to value the equity in a firm, with two stages of growth, an initial</t>
  </si>
  <si>
    <t>period of higher growth and a subsequent period of stable growth.</t>
  </si>
  <si>
    <t>Assumptions</t>
  </si>
  <si>
    <t>1. The firm is expected to grow at a higher growth rate in the first period.</t>
  </si>
  <si>
    <t>2. The growth rate will drop at the end of the first period to the stable growth rate.</t>
  </si>
  <si>
    <t>3. The dividend payout ratio is consistent with the expected growth rate.</t>
  </si>
  <si>
    <t>The user has to define the following inputs:</t>
  </si>
  <si>
    <t>1. Length of high growth period</t>
  </si>
  <si>
    <t>2. Expected growth rate in earnings during the high growth period.</t>
  </si>
  <si>
    <t>3. Dividend payout ratio during the high growth period.</t>
  </si>
  <si>
    <t>4. Expected growth rate in earnings during the stable growth period.</t>
  </si>
  <si>
    <t>5. Expected payout ratio during the stable growth period.</t>
  </si>
  <si>
    <t>6. Current Earnings per share</t>
  </si>
  <si>
    <t>7. Inputs for the Cost of Equity</t>
  </si>
  <si>
    <t>Inputs to the model</t>
  </si>
  <si>
    <t>Enter length of extraordinary growth period =</t>
  </si>
  <si>
    <t>(in years)</t>
  </si>
  <si>
    <t>Do you want to enter cost of equity directly?</t>
  </si>
  <si>
    <t>(Yes or No)</t>
  </si>
  <si>
    <t>If yes, enter the cost of equity =</t>
  </si>
  <si>
    <t>If no, enter the inputs to the cost of equity</t>
  </si>
  <si>
    <t>Riskfree rate=</t>
  </si>
  <si>
    <t>Do you want to use the historical growth rate?</t>
  </si>
  <si>
    <t>Yes</t>
  </si>
  <si>
    <t>If yes, enter EPS from five years ago =</t>
  </si>
  <si>
    <t>Do you have an outside estimate of growth ?</t>
  </si>
  <si>
    <t>If yes, enter the estimated growth:</t>
  </si>
  <si>
    <t>Do you want to calculate the growth rate from fundamentals?</t>
  </si>
  <si>
    <t>If yes, enter the following inputs:</t>
  </si>
  <si>
    <t>Net Income Currently =</t>
  </si>
  <si>
    <t>Last year</t>
  </si>
  <si>
    <t>Book Value of Equity =</t>
  </si>
  <si>
    <t>Tax Rate on Income=</t>
  </si>
  <si>
    <t>The following will be the inputs to the fundamental growth formulation:</t>
  </si>
  <si>
    <t>ROE =</t>
  </si>
  <si>
    <t>Retention =</t>
  </si>
  <si>
    <t>Do you want to change any of these inputs for the high growth period?</t>
  </si>
  <si>
    <t>If yes, specify the values for these inputs (Please enter all variables)</t>
  </si>
  <si>
    <t>Do you want to change any of these inputs for the stable growth period?</t>
  </si>
  <si>
    <t xml:space="preserve">If yes, specify the values for these inputs </t>
  </si>
  <si>
    <t>Specify weights to be assigned to each of these growth rates:</t>
  </si>
  <si>
    <t>Historical Growth Rate  =</t>
  </si>
  <si>
    <t>Outside Prediction of Growth =</t>
  </si>
  <si>
    <t>Fundamental Estimate of Growth =</t>
  </si>
  <si>
    <t>Enter growth rate in stable growth period?</t>
  </si>
  <si>
    <t>Stable payout ratio from fundamentals is =</t>
  </si>
  <si>
    <t>Do you want to change this payout ratio?</t>
  </si>
  <si>
    <t>If yes, enter the stable payout ratio=</t>
  </si>
  <si>
    <t>Will the beta to change in the stable period?</t>
  </si>
  <si>
    <t>If yes, enter the beta for stable period =</t>
  </si>
  <si>
    <t>Before reviewing the output, check to see if any warnings appear on the next page.</t>
  </si>
  <si>
    <t>Warnings</t>
  </si>
  <si>
    <t>Output from the program</t>
  </si>
  <si>
    <t>Current Earnings per share=</t>
  </si>
  <si>
    <t>Growth Rate in Earnings per share</t>
  </si>
  <si>
    <t>Growth Rate</t>
  </si>
  <si>
    <t>Weight</t>
  </si>
  <si>
    <t>Historical Growth =</t>
  </si>
  <si>
    <t>Outside Estimates =</t>
  </si>
  <si>
    <t>Fundamental Growth =</t>
  </si>
  <si>
    <t>Weighted Average</t>
  </si>
  <si>
    <t>Payout Ratio for high growth phase=</t>
  </si>
  <si>
    <t>The dividends for the high growth phase are shown below (upto 10 years)</t>
  </si>
  <si>
    <t>Dividends</t>
  </si>
  <si>
    <t>Growth Rate in Stable Phase =</t>
  </si>
  <si>
    <t>Payout Ratio in Stable Phase =</t>
  </si>
  <si>
    <t>Cost of Equity in Stable Phase =</t>
  </si>
  <si>
    <t>Price at the end of growth phase =</t>
  </si>
  <si>
    <t>Present Value of dividends in high growth phase =</t>
  </si>
  <si>
    <t>Present Value of Terminal Price =</t>
  </si>
  <si>
    <t>Value of the stock =</t>
  </si>
  <si>
    <t>Estimating the value of growth</t>
  </si>
  <si>
    <t>Value of assets in place =</t>
  </si>
  <si>
    <t>Value of stable growth =</t>
  </si>
  <si>
    <t>Value of extraordinary growth =</t>
  </si>
  <si>
    <t>Extraordinary</t>
  </si>
  <si>
    <t>Growth period</t>
  </si>
  <si>
    <t>: First phase</t>
  </si>
  <si>
    <t>Growth</t>
  </si>
  <si>
    <t>THREE-STAGE DIVIDEND DISCOUNT MODEL</t>
  </si>
  <si>
    <t>This model is designed to value the equity in a firm with three stages of</t>
  </si>
  <si>
    <t>growth - an initial period of high growth, a transition period of declining</t>
  </si>
  <si>
    <t>growth and a final period of stable growth.</t>
  </si>
  <si>
    <t>1. The firm is assumed to be in an extraordinary growth phase currently.</t>
  </si>
  <si>
    <t>2. This extraordinary growth is expected to last for an initial period that has to be specified.</t>
  </si>
  <si>
    <t>3. The growth rate declines linearly over the transition period to a stable growth rate.</t>
  </si>
  <si>
    <t>4. The firm's dividend payout ratio changes consistently with the growth rate.</t>
  </si>
  <si>
    <t>The user should enter the following inputs:</t>
  </si>
  <si>
    <t>1. Length of each growth phase</t>
  </si>
  <si>
    <t>2. Growth rate in each growth phase</t>
  </si>
  <si>
    <t>3. Dividend payout ratios in each growth phase.</t>
  </si>
  <si>
    <t>4. Costs of Equity in each growth phase</t>
  </si>
  <si>
    <t>Growth Rate during the initial high growth phase</t>
  </si>
  <si>
    <t>Growth Rate during the transition period</t>
  </si>
  <si>
    <t>Enter length of the transition period =</t>
  </si>
  <si>
    <t>Do you want the payout ratio to adjust gradually to stable payout?</t>
  </si>
  <si>
    <t>If no, enter the payout ratio for the transition period =</t>
  </si>
  <si>
    <t>Do you want the beta to adjust gradually to stable beta?</t>
  </si>
  <si>
    <t>If no, enter the beta for the transition period =</t>
  </si>
  <si>
    <t>Growth Rate during the stable phase</t>
  </si>
  <si>
    <t>Initial High Growth Phase</t>
  </si>
  <si>
    <t>Growth Rate in Earnings per share - Initial High Growth phase</t>
  </si>
  <si>
    <t>Year</t>
  </si>
  <si>
    <t>Earnings</t>
  </si>
  <si>
    <t>Present Value</t>
  </si>
  <si>
    <t>Transition period (upto ten years)</t>
  </si>
  <si>
    <t>Payout Ratio</t>
  </si>
  <si>
    <t>Beta</t>
  </si>
  <si>
    <t xml:space="preserve">Cost of Equity </t>
  </si>
  <si>
    <t xml:space="preserve"> Stable Growth Phase</t>
  </si>
  <si>
    <t>Present Value of dividends in transition phase 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</si>
</sst>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_);[Red]\(&quot;$&quot;#,##0.00\)"/>
    <numFmt numFmtId="165" formatCode="&quot;$&quot;#,##0.00_);\(&quot;$&quot;#,##0.00\)"/>
    <numFmt numFmtId="166" formatCode="0.0%"/>
  </numFmts>
  <fonts count="25">
    <font>
      <sz val="12.0"/>
      <color rgb="FF000000"/>
      <name val="Times New Roman"/>
    </font>
    <font>
      <sz val="18.0"/>
      <color theme="1"/>
      <name val="Times New Roman"/>
    </font>
    <font>
      <b/>
      <i/>
      <sz val="18.0"/>
      <color theme="1"/>
      <name val="Times New Roman"/>
    </font>
    <font>
      <sz val="14.0"/>
      <color theme="1"/>
      <name val="Times New Roman"/>
    </font>
    <font/>
    <font>
      <sz val="10.0"/>
      <color theme="1"/>
      <name val="Times New Roman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i/>
      <sz val="10.0"/>
      <color theme="1"/>
      <name val="Times New Roman"/>
    </font>
    <font>
      <i/>
      <sz val="10.0"/>
      <color theme="1"/>
      <name val="Arimo"/>
    </font>
    <font>
      <color theme="1"/>
      <name val="Calibri"/>
    </font>
    <font>
      <sz val="18.0"/>
      <color theme="1"/>
      <name val="&quot;Times New Roman&quot;"/>
    </font>
    <font>
      <sz val="14.0"/>
      <color theme="1"/>
      <name val="&quot;Times New Roman&quot;"/>
    </font>
    <font>
      <b/>
      <sz val="12.0"/>
      <color theme="1"/>
      <name val="&quot;Times New Roman&quot;"/>
    </font>
    <font>
      <sz val="12.0"/>
      <color theme="1"/>
      <name val="&quot;Times New Roman&quot;"/>
    </font>
    <font>
      <b/>
      <sz val="14.0"/>
      <color theme="1"/>
      <name val="&quot;Times New Roman&quot;"/>
    </font>
    <font>
      <color theme="1"/>
      <name val="Arimo"/>
    </font>
    <font>
      <i/>
      <sz val="12.0"/>
      <color theme="1"/>
      <name val="&quot;Times New Roman&quot;"/>
    </font>
    <font>
      <b/>
      <i/>
      <sz val="14.0"/>
      <color theme="1"/>
      <name val="&quot;Times New Roman&quot;"/>
    </font>
    <font>
      <b/>
      <color theme="1"/>
      <name val="Arimo"/>
    </font>
    <font>
      <sz val="18.0"/>
      <color theme="1"/>
      <name val="Times"/>
    </font>
    <font>
      <sz val="14.0"/>
      <color theme="1"/>
      <name val="Times"/>
    </font>
    <font>
      <b/>
      <color theme="1"/>
      <name val="Times"/>
    </font>
    <font>
      <color theme="1"/>
      <name val="Times"/>
    </font>
    <font>
      <i/>
      <color theme="1"/>
      <name val="Times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4" numFmtId="0" xfId="0" applyBorder="1" applyFont="1"/>
    <xf borderId="6" fillId="0" fontId="3" numFmtId="0" xfId="0" applyAlignment="1" applyBorder="1" applyFont="1">
      <alignment horizontal="center" shrinkToFit="0" vertical="bottom" wrapText="0"/>
    </xf>
    <xf borderId="7" fillId="0" fontId="4" numFmtId="0" xfId="0" applyBorder="1" applyFont="1"/>
    <xf borderId="8" fillId="0" fontId="4" numFmtId="0" xfId="0" applyBorder="1" applyFont="1"/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9" fillId="2" fontId="5" numFmtId="164" xfId="0" applyAlignment="1" applyBorder="1" applyFill="1" applyFont="1" applyNumberForma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10" fillId="2" fontId="5" numFmtId="10" xfId="0" applyAlignment="1" applyBorder="1" applyFont="1" applyNumberFormat="1">
      <alignment horizontal="center" shrinkToFit="0" vertical="bottom" wrapText="0"/>
    </xf>
    <xf borderId="9" fillId="2" fontId="5" numFmtId="0" xfId="0" applyAlignment="1" applyBorder="1" applyFont="1">
      <alignment horizontal="center" shrinkToFit="0" vertical="bottom" wrapText="0"/>
    </xf>
    <xf borderId="9" fillId="2" fontId="5" numFmtId="10" xfId="0" applyAlignment="1" applyBorder="1" applyFont="1" applyNumberForma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9" fillId="2" fontId="5" numFmtId="9" xfId="0" applyAlignment="1" applyBorder="1" applyFont="1" applyNumberFormat="1">
      <alignment horizontal="center" shrinkToFit="0" vertical="bottom" wrapText="0"/>
    </xf>
    <xf borderId="11" fillId="0" fontId="6" numFmtId="0" xfId="0" applyAlignment="1" applyBorder="1" applyFont="1">
      <alignment shrinkToFit="0" vertical="bottom" wrapText="0"/>
    </xf>
    <xf borderId="12" fillId="0" fontId="8" numFmtId="0" xfId="0" applyAlignment="1" applyBorder="1" applyFont="1">
      <alignment shrinkToFit="0" vertical="bottom" wrapText="0"/>
    </xf>
    <xf borderId="12" fillId="0" fontId="5" numFmtId="0" xfId="0" applyAlignment="1" applyBorder="1" applyFont="1">
      <alignment shrinkToFit="0" vertical="bottom" wrapText="0"/>
    </xf>
    <xf borderId="13" fillId="0" fontId="5" numFmtId="0" xfId="0" applyAlignment="1" applyBorder="1" applyFont="1">
      <alignment shrinkToFit="0" vertical="bottom" wrapText="0"/>
    </xf>
    <xf borderId="14" fillId="0" fontId="5" numFmtId="0" xfId="0" applyAlignment="1" applyBorder="1" applyFont="1">
      <alignment shrinkToFit="0" vertical="bottom" wrapText="0"/>
    </xf>
    <xf borderId="15" fillId="0" fontId="5" numFmtId="0" xfId="0" applyAlignment="1" applyBorder="1" applyFont="1">
      <alignment shrinkToFit="0" vertical="bottom" wrapText="0"/>
    </xf>
    <xf borderId="16" fillId="0" fontId="5" numFmtId="0" xfId="0" applyAlignment="1" applyBorder="1" applyFont="1">
      <alignment shrinkToFit="0" vertical="bottom" wrapText="0"/>
    </xf>
    <xf borderId="17" fillId="0" fontId="8" numFmtId="0" xfId="0" applyAlignment="1" applyBorder="1" applyFont="1">
      <alignment shrinkToFit="0" vertical="bottom" wrapText="0"/>
    </xf>
    <xf borderId="17" fillId="0" fontId="7" numFmtId="0" xfId="0" applyAlignment="1" applyBorder="1" applyFont="1">
      <alignment shrinkToFit="0" vertical="bottom" wrapText="0"/>
    </xf>
    <xf borderId="17" fillId="0" fontId="5" numFmtId="0" xfId="0" applyAlignment="1" applyBorder="1" applyFont="1">
      <alignment shrinkToFit="0" vertical="bottom" wrapText="0"/>
    </xf>
    <xf borderId="18" fillId="0" fontId="5" numFmtId="0" xfId="0" applyAlignment="1" applyBorder="1" applyFon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6" numFmtId="10" xfId="0" applyAlignment="1" applyFont="1" applyNumberFormat="1">
      <alignment shrinkToFit="0" vertical="bottom" wrapText="0"/>
    </xf>
    <xf borderId="19" fillId="0" fontId="5" numFmtId="0" xfId="0" applyAlignment="1" applyBorder="1" applyFont="1">
      <alignment shrinkToFit="0" vertical="bottom" wrapText="0"/>
    </xf>
    <xf borderId="20" fillId="0" fontId="5" numFmtId="0" xfId="0" applyAlignment="1" applyBorder="1" applyFont="1">
      <alignment shrinkToFit="0" vertical="bottom" wrapText="0"/>
    </xf>
    <xf borderId="21" fillId="0" fontId="5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11" fillId="0" fontId="9" numFmtId="0" xfId="0" applyAlignment="1" applyBorder="1" applyFont="1">
      <alignment horizontal="center" shrinkToFit="0" vertical="bottom" wrapText="0"/>
    </xf>
    <xf borderId="22" fillId="0" fontId="9" numFmtId="0" xfId="0" applyAlignment="1" applyBorder="1" applyFont="1">
      <alignment horizontal="center" shrinkToFit="0" vertical="bottom" wrapText="0"/>
    </xf>
    <xf borderId="14" fillId="0" fontId="5" numFmtId="10" xfId="0" applyAlignment="1" applyBorder="1" applyFont="1" applyNumberFormat="1">
      <alignment horizontal="center" shrinkToFit="0" vertical="bottom" wrapText="0"/>
    </xf>
    <xf borderId="23" fillId="0" fontId="5" numFmtId="164" xfId="0" applyAlignment="1" applyBorder="1" applyFont="1" applyNumberFormat="1">
      <alignment horizontal="center" shrinkToFit="0" vertical="bottom" wrapText="0"/>
    </xf>
    <xf borderId="16" fillId="0" fontId="5" numFmtId="10" xfId="0" applyAlignment="1" applyBorder="1" applyFont="1" applyNumberFormat="1">
      <alignment horizontal="center" shrinkToFit="0" vertical="bottom" wrapText="0"/>
    </xf>
    <xf borderId="24" fillId="0" fontId="5" numFmtId="164" xfId="0" applyAlignment="1" applyBorder="1" applyFont="1" applyNumberFormat="1">
      <alignment horizontal="center" shrinkToFit="0" vertical="bottom" wrapText="0"/>
    </xf>
    <xf borderId="0" fillId="0" fontId="10" numFmtId="0" xfId="0" applyAlignment="1" applyFont="1">
      <alignment vertical="bottom"/>
    </xf>
    <xf borderId="0" fillId="0" fontId="11" numFmtId="0" xfId="0" applyAlignment="1" applyFont="1">
      <alignment horizontal="center" vertical="bottom"/>
    </xf>
    <xf borderId="0" fillId="0" fontId="12" numFmtId="0" xfId="0" applyAlignment="1" applyFont="1">
      <alignment horizontal="center" vertical="bottom"/>
    </xf>
    <xf borderId="25" fillId="0" fontId="13" numFmtId="0" xfId="0" applyAlignment="1" applyBorder="1" applyFont="1">
      <alignment shrinkToFit="0" vertical="bottom" wrapText="0"/>
    </xf>
    <xf borderId="25" fillId="0" fontId="14" numFmtId="0" xfId="0" applyAlignment="1" applyBorder="1" applyFont="1">
      <alignment shrinkToFit="0" vertical="bottom" wrapText="0"/>
    </xf>
    <xf borderId="25" fillId="0" fontId="10" numFmtId="0" xfId="0" applyAlignment="1" applyBorder="1" applyFont="1">
      <alignment vertical="bottom"/>
    </xf>
    <xf borderId="0" fillId="0" fontId="15" numFmtId="0" xfId="0" applyAlignment="1" applyFont="1">
      <alignment horizontal="center" vertical="bottom"/>
    </xf>
    <xf borderId="0" fillId="2" fontId="16" numFmtId="164" xfId="0" applyAlignment="1" applyFont="1" applyNumberFormat="1">
      <alignment horizontal="center" vertical="bottom"/>
    </xf>
    <xf borderId="0" fillId="0" fontId="14" numFmtId="0" xfId="0" applyAlignment="1" applyFont="1">
      <alignment horizontal="center" vertical="bottom"/>
    </xf>
    <xf borderId="0" fillId="0" fontId="14" numFmtId="0" xfId="0" applyAlignment="1" applyFont="1">
      <alignment vertical="bottom"/>
    </xf>
    <xf borderId="0" fillId="2" fontId="14" numFmtId="164" xfId="0" applyAlignment="1" applyFont="1" applyNumberFormat="1">
      <alignment horizontal="center" vertical="bottom"/>
    </xf>
    <xf borderId="25" fillId="0" fontId="14" numFmtId="0" xfId="0" applyAlignment="1" applyBorder="1" applyFont="1">
      <alignment vertical="bottom"/>
    </xf>
    <xf borderId="0" fillId="2" fontId="14" numFmtId="1" xfId="0" applyAlignment="1" applyFont="1" applyNumberFormat="1">
      <alignment horizontal="center" vertical="bottom"/>
    </xf>
    <xf borderId="0" fillId="2" fontId="14" numFmtId="0" xfId="0" applyAlignment="1" applyFont="1">
      <alignment horizontal="center" vertical="bottom"/>
    </xf>
    <xf borderId="0" fillId="2" fontId="10" numFmtId="10" xfId="0" applyAlignment="1" applyFont="1" applyNumberFormat="1">
      <alignment vertical="bottom"/>
    </xf>
    <xf borderId="25" fillId="0" fontId="17" numFmtId="0" xfId="0" applyAlignment="1" applyBorder="1" applyFont="1">
      <alignment shrinkToFit="0" vertical="bottom" wrapText="0"/>
    </xf>
    <xf borderId="0" fillId="2" fontId="14" numFmtId="164" xfId="0" applyAlignment="1" applyFont="1" applyNumberFormat="1">
      <alignment horizontal="right" vertical="bottom"/>
    </xf>
    <xf borderId="25" fillId="0" fontId="14" numFmtId="0" xfId="0" applyAlignment="1" applyBorder="1" applyFont="1">
      <alignment horizontal="center" vertical="bottom"/>
    </xf>
    <xf borderId="0" fillId="0" fontId="14" numFmtId="10" xfId="0" applyAlignment="1" applyFont="1" applyNumberFormat="1">
      <alignment horizontal="center" vertical="bottom"/>
    </xf>
    <xf borderId="0" fillId="0" fontId="10" numFmtId="10" xfId="0" applyAlignment="1" applyFont="1" applyNumberFormat="1">
      <alignment vertical="bottom"/>
    </xf>
    <xf borderId="0" fillId="0" fontId="18" numFmtId="0" xfId="0" applyAlignment="1" applyFont="1">
      <alignment horizontal="center" vertical="bottom"/>
    </xf>
    <xf borderId="0" fillId="0" fontId="17" numFmtId="0" xfId="0" applyAlignment="1" applyFont="1">
      <alignment vertical="bottom"/>
    </xf>
    <xf borderId="0" fillId="0" fontId="14" numFmtId="164" xfId="0" applyAlignment="1" applyFont="1" applyNumberFormat="1">
      <alignment horizontal="center" vertical="bottom"/>
    </xf>
    <xf borderId="0" fillId="0" fontId="17" numFmtId="0" xfId="0" applyAlignment="1" applyFont="1">
      <alignment horizontal="center" vertical="bottom"/>
    </xf>
    <xf borderId="0" fillId="0" fontId="17" numFmtId="10" xfId="0" applyAlignment="1" applyFont="1" applyNumberFormat="1">
      <alignment horizontal="center" vertical="bottom"/>
    </xf>
    <xf borderId="25" fillId="0" fontId="10" numFmtId="10" xfId="0" applyAlignment="1" applyBorder="1" applyFont="1" applyNumberFormat="1">
      <alignment vertical="bottom"/>
    </xf>
    <xf borderId="0" fillId="0" fontId="19" numFmtId="0" xfId="0" applyAlignment="1" applyFont="1">
      <alignment horizontal="center" vertical="bottom"/>
    </xf>
    <xf borderId="0" fillId="0" fontId="13" numFmtId="164" xfId="0" applyAlignment="1" applyFont="1" applyNumberFormat="1">
      <alignment horizontal="center" vertical="bottom"/>
    </xf>
    <xf borderId="25" fillId="0" fontId="13" numFmtId="0" xfId="0" applyAlignment="1" applyBorder="1" applyFont="1">
      <alignment vertical="bottom"/>
    </xf>
    <xf borderId="0" fillId="0" fontId="13" numFmtId="0" xfId="0" applyAlignment="1" applyFont="1">
      <alignment vertical="bottom"/>
    </xf>
    <xf borderId="25" fillId="0" fontId="15" numFmtId="0" xfId="0" applyAlignment="1" applyBorder="1" applyFont="1">
      <alignment shrinkToFit="0" vertical="bottom" wrapText="0"/>
    </xf>
    <xf borderId="25" fillId="0" fontId="14" numFmtId="0" xfId="0" applyAlignment="1" applyBorder="1" applyFont="1">
      <alignment horizontal="center"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20" numFmtId="0" xfId="0" applyAlignment="1" applyFont="1">
      <alignment horizontal="center" vertical="bottom"/>
    </xf>
    <xf borderId="25" fillId="0" fontId="21" numFmtId="0" xfId="0" applyAlignment="1" applyBorder="1" applyFont="1">
      <alignment shrinkToFit="0" vertical="bottom" wrapText="0"/>
    </xf>
    <xf borderId="25" fillId="0" fontId="10" numFmtId="0" xfId="0" applyAlignment="1" applyBorder="1" applyFont="1">
      <alignment shrinkToFit="0" vertical="bottom" wrapText="0"/>
    </xf>
    <xf borderId="0" fillId="0" fontId="22" numFmtId="0" xfId="0" applyAlignment="1" applyFont="1">
      <alignment horizontal="center" vertical="bottom"/>
    </xf>
    <xf borderId="0" fillId="2" fontId="23" numFmtId="164" xfId="0" applyAlignment="1" applyFont="1" applyNumberFormat="1">
      <alignment horizontal="center" vertical="bottom"/>
    </xf>
    <xf borderId="0" fillId="2" fontId="23" numFmtId="0" xfId="0" applyAlignment="1" applyFont="1">
      <alignment horizontal="center" vertical="bottom"/>
    </xf>
    <xf borderId="25" fillId="0" fontId="24" numFmtId="0" xfId="0" applyAlignment="1" applyBorder="1" applyFont="1">
      <alignment shrinkToFit="0" vertical="bottom" wrapText="0"/>
    </xf>
    <xf borderId="0" fillId="2" fontId="23" numFmtId="1" xfId="0" applyAlignment="1" applyFont="1" applyNumberFormat="1">
      <alignment horizontal="center" vertical="bottom"/>
    </xf>
    <xf borderId="0" fillId="2" fontId="23" numFmtId="164" xfId="0" applyAlignment="1" applyFont="1" applyNumberFormat="1">
      <alignment horizontal="right" vertical="bottom"/>
    </xf>
    <xf borderId="0" fillId="2" fontId="23" numFmtId="166" xfId="0" applyAlignment="1" applyFont="1" applyNumberFormat="1">
      <alignment horizontal="center" vertical="bottom"/>
    </xf>
    <xf borderId="25" fillId="0" fontId="22" numFmtId="0" xfId="0" applyAlignment="1" applyBorder="1" applyFont="1">
      <alignment shrinkToFit="0" vertical="bottom" wrapText="0"/>
    </xf>
    <xf borderId="0" fillId="0" fontId="23" numFmtId="10" xfId="0" applyAlignment="1" applyFont="1" applyNumberFormat="1">
      <alignment horizontal="center" vertical="bottom"/>
    </xf>
    <xf borderId="0" fillId="0" fontId="23" numFmtId="164" xfId="0" applyAlignment="1" applyFont="1" applyNumberFormat="1">
      <alignment horizontal="center" vertical="bottom"/>
    </xf>
    <xf borderId="0" fillId="0" fontId="24" numFmtId="0" xfId="0" applyAlignment="1" applyFont="1">
      <alignment vertical="bottom"/>
    </xf>
    <xf borderId="0" fillId="0" fontId="24" numFmtId="0" xfId="0" applyAlignment="1" applyFont="1">
      <alignment horizontal="center" vertical="bottom"/>
    </xf>
    <xf borderId="0" fillId="0" fontId="24" numFmtId="10" xfId="0" applyAlignment="1" applyFont="1" applyNumberFormat="1">
      <alignment horizontal="center" vertical="bottom"/>
    </xf>
    <xf borderId="0" fillId="0" fontId="23" numFmtId="0" xfId="0" applyAlignment="1" applyFont="1">
      <alignment horizontal="center" vertical="bottom"/>
    </xf>
    <xf borderId="0" fillId="0" fontId="23" numFmtId="0" xfId="0" applyAlignment="1" applyFont="1">
      <alignment vertical="bottom"/>
    </xf>
    <xf borderId="0" fillId="0" fontId="10" numFmtId="164" xfId="0" applyAlignment="1" applyFont="1" applyNumberFormat="1">
      <alignment vertical="bottom"/>
    </xf>
    <xf borderId="0" fillId="0" fontId="24" numFmtId="1" xfId="0" applyAlignment="1" applyFont="1" applyNumberFormat="1">
      <alignment horizontal="center" vertical="bottom"/>
    </xf>
    <xf borderId="0" fillId="0" fontId="22" numFmtId="164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r>
              <a:rPr b="1" i="0">
                <a:solidFill>
                  <a:srgbClr val="000000"/>
                </a:solidFill>
                <a:latin typeface="+mn-lt"/>
              </a:rPr>
              <a:t>Value vs. Expected Growth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'DDM Model for Firms With Stable'!$B$48:$B$56</c:f>
            </c:strRef>
          </c:cat>
          <c:val>
            <c:numRef>
              <c:f>'DDM Model for Firms With Stable'!$C$48:$C$56</c:f>
              <c:numCache/>
            </c:numRef>
          </c:val>
          <c:smooth val="0"/>
        </c:ser>
        <c:axId val="1355576805"/>
        <c:axId val="1867503313"/>
      </c:lineChart>
      <c:catAx>
        <c:axId val="13555768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2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200">
                    <a:solidFill>
                      <a:srgbClr val="000000"/>
                    </a:solidFill>
                    <a:latin typeface="+mn-lt"/>
                  </a:rPr>
                  <a:t>Expected Growth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7503313"/>
      </c:catAx>
      <c:valAx>
        <c:axId val="186750331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2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200">
                    <a:solidFill>
                      <a:srgbClr val="000000"/>
                    </a:solidFill>
                    <a:latin typeface="+mn-lt"/>
                  </a:rPr>
                  <a:t>Value of Stock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5576805"/>
      </c:valAx>
    </c:plotArea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123825</xdr:colOff>
      <xdr:row>43</xdr:row>
      <xdr:rowOff>104775</xdr:rowOff>
    </xdr:from>
    <xdr:ext cx="3933825" cy="2828925"/>
    <xdr:graphicFrame>
      <xdr:nvGraphicFramePr>
        <xdr:cNvPr descr="Chart 0"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78"/>
    <col customWidth="1" min="2" max="3" width="12.78"/>
    <col customWidth="1" min="4" max="26" width="10.0"/>
  </cols>
  <sheetData>
    <row r="1" ht="18.75" customHeight="1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"/>
      <c r="B3" s="4" t="s">
        <v>1</v>
      </c>
      <c r="C3" s="5"/>
      <c r="D3" s="5"/>
      <c r="E3" s="5"/>
      <c r="F3" s="5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customHeight="1">
      <c r="A4" s="1"/>
      <c r="B4" s="7" t="s">
        <v>2</v>
      </c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1"/>
      <c r="B5" s="9" t="s">
        <v>3</v>
      </c>
      <c r="C5" s="10"/>
      <c r="D5" s="10"/>
      <c r="E5" s="10"/>
      <c r="F5" s="10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2"/>
      <c r="B7" s="13" t="s">
        <v>4</v>
      </c>
      <c r="C7" s="12"/>
      <c r="D7" s="1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0" customHeight="1">
      <c r="A8" s="12"/>
      <c r="B8" s="12" t="s">
        <v>5</v>
      </c>
      <c r="C8" s="12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5.0" customHeight="1">
      <c r="A9" s="12"/>
      <c r="B9" s="12" t="s">
        <v>6</v>
      </c>
      <c r="C9" s="12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0" customHeight="1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0" customHeight="1">
      <c r="A11" s="12"/>
      <c r="B11" s="13" t="s">
        <v>7</v>
      </c>
      <c r="C11" s="12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8.0" customHeight="1">
      <c r="A12" s="12"/>
      <c r="B12" s="12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8.0" customHeight="1">
      <c r="A13" s="12"/>
      <c r="B13" s="12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8.0" customHeight="1">
      <c r="A14" s="12"/>
      <c r="B14" s="12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8.0" customHeight="1">
      <c r="A15" s="12"/>
      <c r="B15" s="12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8.0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8.0" customHeight="1">
      <c r="A17" s="12"/>
      <c r="B17" s="13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8.0" customHeight="1">
      <c r="A18" s="12"/>
      <c r="B18" s="12" t="s">
        <v>13</v>
      </c>
      <c r="C18" s="12"/>
      <c r="D18" s="15">
        <v>4.33</v>
      </c>
      <c r="E18" s="16" t="s">
        <v>14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8.0" customHeight="1">
      <c r="A19" s="12"/>
      <c r="B19" s="12" t="s">
        <v>15</v>
      </c>
      <c r="C19" s="12"/>
      <c r="D19" s="17">
        <v>0.63</v>
      </c>
      <c r="E19" s="16" t="s">
        <v>16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8.0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8.0" customHeight="1">
      <c r="A21" s="12"/>
      <c r="B21" s="12" t="s">
        <v>17</v>
      </c>
      <c r="C21" s="12"/>
      <c r="D21" s="12"/>
      <c r="E21" s="12"/>
      <c r="F21" s="18" t="s">
        <v>18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8.0" customHeight="1">
      <c r="A22" s="12"/>
      <c r="B22" s="12" t="s">
        <v>19</v>
      </c>
      <c r="C22" s="12"/>
      <c r="D22" s="19"/>
      <c r="E22" s="16" t="s">
        <v>16</v>
      </c>
      <c r="F22" s="1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8.0" customHeight="1">
      <c r="A23" s="12"/>
      <c r="B23" s="20" t="s">
        <v>20</v>
      </c>
      <c r="C23" s="12"/>
      <c r="D23" s="12"/>
      <c r="E23" s="12"/>
      <c r="F23" s="1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8.0" customHeight="1">
      <c r="A24" s="12"/>
      <c r="B24" s="12" t="s">
        <v>21</v>
      </c>
      <c r="C24" s="12"/>
      <c r="D24" s="18">
        <v>0.95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8.0" customHeight="1">
      <c r="A25" s="12"/>
      <c r="B25" s="12" t="s">
        <v>22</v>
      </c>
      <c r="C25" s="12"/>
      <c r="D25" s="19">
        <v>0.07</v>
      </c>
      <c r="E25" s="16" t="s">
        <v>16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8.0" customHeight="1">
      <c r="A26" s="12"/>
      <c r="B26" s="12" t="s">
        <v>23</v>
      </c>
      <c r="C26" s="12"/>
      <c r="D26" s="19">
        <v>0.055</v>
      </c>
      <c r="E26" s="16" t="s">
        <v>16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8.0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8.0" customHeight="1">
      <c r="A28" s="12"/>
      <c r="B28" s="12" t="s">
        <v>24</v>
      </c>
      <c r="C28" s="12"/>
      <c r="D28" s="21">
        <v>0.06</v>
      </c>
      <c r="E28" s="16" t="s">
        <v>25</v>
      </c>
      <c r="F28" s="20" t="s">
        <v>26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8.0" customHeight="1">
      <c r="A29" s="12"/>
      <c r="B29" s="12"/>
      <c r="C29" s="12"/>
      <c r="D29" s="12"/>
      <c r="E29" s="12"/>
      <c r="F29" s="20" t="s">
        <v>27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8.0" customHeight="1">
      <c r="A30" s="12"/>
      <c r="B30" s="12"/>
      <c r="C30" s="12"/>
      <c r="D30" s="12"/>
      <c r="E30" s="12"/>
      <c r="F30" s="20" t="s">
        <v>28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8.0" customHeight="1">
      <c r="A31" s="12"/>
      <c r="B31" s="12"/>
      <c r="C31" s="12"/>
      <c r="D31" s="12"/>
      <c r="E31" s="12"/>
      <c r="F31" s="20" t="s">
        <v>29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8.0" customHeight="1">
      <c r="A32" s="12"/>
      <c r="B32" s="12"/>
      <c r="C32" s="12"/>
      <c r="D32" s="12"/>
      <c r="E32" s="12"/>
      <c r="F32" s="2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8.0" customHeight="1">
      <c r="A33" s="12"/>
      <c r="B33" s="22" t="s">
        <v>30</v>
      </c>
      <c r="C33" s="23" t="str">
        <f>IF(D28&gt;10%,"This is high for a stable growth rate","")</f>
        <v/>
      </c>
      <c r="D33" s="24"/>
      <c r="E33" s="24"/>
      <c r="F33" s="24"/>
      <c r="G33" s="2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8.0" customHeight="1">
      <c r="A34" s="12"/>
      <c r="B34" s="26"/>
      <c r="C34" s="20" t="str">
        <f>IF(D24&gt;1.5,"This Beta is high for a stable firm"," ")</f>
        <v> </v>
      </c>
      <c r="D34" s="12"/>
      <c r="E34" s="12"/>
      <c r="F34" s="12"/>
      <c r="G34" s="2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2.0" customHeight="1">
      <c r="A35" s="12"/>
      <c r="B35" s="28"/>
      <c r="C35" s="29" t="str">
        <f>IF(D19&lt;0.2,"Payout ratio is low for a stable firm"," ")</f>
        <v> </v>
      </c>
      <c r="D35" s="30"/>
      <c r="E35" s="31"/>
      <c r="F35" s="31"/>
      <c r="G35" s="3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2.0" customHeight="1">
      <c r="A36" s="12"/>
      <c r="B36" s="12"/>
      <c r="C36" s="12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9.5" customHeight="1">
      <c r="A37" s="12"/>
      <c r="B37" s="13" t="s">
        <v>31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9.5" customHeight="1">
      <c r="A38" s="12"/>
      <c r="B38" s="20" t="s">
        <v>32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9.5" customHeight="1">
      <c r="A39" s="12"/>
      <c r="B39" s="12" t="s">
        <v>33</v>
      </c>
      <c r="C39" s="12"/>
      <c r="D39" s="33">
        <f>D18*D19</f>
        <v>2.7279</v>
      </c>
      <c r="E39" s="12"/>
      <c r="F39" s="12"/>
      <c r="G39" s="12"/>
      <c r="H39" s="3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9.5" customHeight="1">
      <c r="A40" s="12"/>
      <c r="B40" s="12"/>
      <c r="C40" s="12"/>
      <c r="D40" s="34"/>
      <c r="E40" s="12"/>
      <c r="F40" s="12"/>
      <c r="G40" s="12"/>
      <c r="H40" s="3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9.5" customHeight="1">
      <c r="A41" s="12"/>
      <c r="B41" s="12" t="s">
        <v>34</v>
      </c>
      <c r="C41" s="12"/>
      <c r="D41" s="34">
        <f>IF(F21="Yes",D22,D25+D24*D26)</f>
        <v>0.12225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9.5" customHeight="1">
      <c r="A42" s="12"/>
      <c r="B42" s="12" t="s">
        <v>35</v>
      </c>
      <c r="C42" s="12"/>
      <c r="D42" s="34">
        <f>D28</f>
        <v>0.06</v>
      </c>
      <c r="E42" s="12" t="str">
        <f>IF(D42&gt;0.1,"This is high for an infinite growth rate. Check it"," ")</f>
        <v>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9.5" customHeight="1">
      <c r="A44" s="12"/>
      <c r="B44" s="12"/>
      <c r="C44" s="35" t="s">
        <v>36</v>
      </c>
      <c r="D44" s="36"/>
      <c r="E44" s="36"/>
      <c r="F44" s="37">
        <f>D39*(1+D42)/(D41-D42)</f>
        <v>46.45098795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2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2.75" customHeight="1">
      <c r="A47" s="38"/>
      <c r="B47" s="39" t="s">
        <v>37</v>
      </c>
      <c r="C47" s="40" t="s">
        <v>38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2.0" customHeight="1">
      <c r="A48" s="12"/>
      <c r="B48" s="41">
        <f>D42+2%</f>
        <v>0.08</v>
      </c>
      <c r="C48" s="42">
        <f t="shared" ref="C48:C56" si="1">$D$39*(1+B48)/($D$41-B48)</f>
        <v>69.73093491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2.0" customHeight="1">
      <c r="A49" s="12"/>
      <c r="B49" s="41">
        <f>D42+1%</f>
        <v>0.07</v>
      </c>
      <c r="C49" s="42">
        <f t="shared" si="1"/>
        <v>55.86321531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2.0" customHeight="1">
      <c r="A50" s="12"/>
      <c r="B50" s="41">
        <f>D42</f>
        <v>0.06</v>
      </c>
      <c r="C50" s="42">
        <f t="shared" si="1"/>
        <v>46.45098795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2.0" customHeight="1">
      <c r="A51" s="12"/>
      <c r="B51" s="41">
        <f>D42-1%</f>
        <v>0.05</v>
      </c>
      <c r="C51" s="42">
        <f t="shared" si="1"/>
        <v>39.64422145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2.0" customHeight="1">
      <c r="A52" s="12"/>
      <c r="B52" s="41">
        <f>D42-2%</f>
        <v>0.04</v>
      </c>
      <c r="C52" s="42">
        <f t="shared" si="1"/>
        <v>34.49259574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2.0" customHeight="1">
      <c r="A53" s="12"/>
      <c r="B53" s="41">
        <f>D42-3%</f>
        <v>0.03</v>
      </c>
      <c r="C53" s="42">
        <f t="shared" si="1"/>
        <v>30.45785366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2.0" customHeight="1">
      <c r="A54" s="12"/>
      <c r="B54" s="41">
        <f>D42-4%</f>
        <v>0.02</v>
      </c>
      <c r="C54" s="42">
        <f t="shared" si="1"/>
        <v>27.21230318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2.0" customHeight="1">
      <c r="A55" s="12"/>
      <c r="B55" s="41">
        <f>D42-5%</f>
        <v>0.01</v>
      </c>
      <c r="C55" s="42">
        <f t="shared" si="1"/>
        <v>24.5450245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2.0" customHeight="1">
      <c r="A56" s="12"/>
      <c r="B56" s="43">
        <f>D42-6%</f>
        <v>0</v>
      </c>
      <c r="C56" s="44">
        <f t="shared" si="1"/>
        <v>22.31411043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2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2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2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2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2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2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2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2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2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2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2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2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H1"/>
    <mergeCell ref="B3:H3"/>
    <mergeCell ref="B4:H4"/>
    <mergeCell ref="B5:H5"/>
  </mergeCells>
  <printOptions/>
  <pageMargins bottom="0.75" footer="0.0" header="0.0" left="0.7" right="0.7" top="0.75"/>
  <pageSetup orientation="landscape"/>
  <headerFooter>
    <oddHeader>&amp;CGordon Growth Model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.89"/>
  </cols>
  <sheetData>
    <row r="1">
      <c r="A1" s="45"/>
      <c r="B1" s="46" t="s">
        <v>39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45"/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45"/>
      <c r="B3" s="47" t="s">
        <v>40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45"/>
      <c r="B4" s="47" t="s">
        <v>41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45"/>
      <c r="B6" s="48" t="s">
        <v>42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45"/>
      <c r="B7" s="49" t="s">
        <v>43</v>
      </c>
      <c r="C7" s="50"/>
      <c r="D7" s="50"/>
      <c r="E7" s="50"/>
      <c r="F7" s="50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45"/>
      <c r="B8" s="49" t="s">
        <v>44</v>
      </c>
      <c r="C8" s="50"/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45"/>
      <c r="B9" s="49" t="s">
        <v>45</v>
      </c>
      <c r="C9" s="50"/>
      <c r="D9" s="50"/>
      <c r="E9" s="50"/>
      <c r="F9" s="50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45"/>
      <c r="B11" s="48" t="s">
        <v>46</v>
      </c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45"/>
      <c r="B12" s="49" t="s">
        <v>47</v>
      </c>
      <c r="C12" s="50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45"/>
      <c r="B13" s="49" t="s">
        <v>48</v>
      </c>
      <c r="C13" s="50"/>
      <c r="D13" s="50"/>
      <c r="E13" s="50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45"/>
      <c r="B14" s="49" t="s">
        <v>49</v>
      </c>
      <c r="C14" s="50"/>
      <c r="D14" s="50"/>
      <c r="E14" s="50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45"/>
      <c r="B15" s="49" t="s">
        <v>50</v>
      </c>
      <c r="C15" s="50"/>
      <c r="D15" s="50"/>
      <c r="E15" s="50"/>
      <c r="F15" s="50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45"/>
      <c r="B16" s="49" t="s">
        <v>51</v>
      </c>
      <c r="C16" s="50"/>
      <c r="D16" s="50"/>
      <c r="E16" s="50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45"/>
      <c r="B17" s="49" t="s">
        <v>52</v>
      </c>
      <c r="C17" s="5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45"/>
      <c r="B18" s="49" t="s">
        <v>53</v>
      </c>
      <c r="C18" s="5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45"/>
      <c r="B20" s="51" t="s">
        <v>54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45"/>
      <c r="B21" s="49" t="s">
        <v>13</v>
      </c>
      <c r="C21" s="45"/>
      <c r="D21" s="52">
        <v>5.49</v>
      </c>
      <c r="E21" s="53" t="s">
        <v>14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5"/>
      <c r="B22" s="49" t="s">
        <v>33</v>
      </c>
      <c r="C22" s="54"/>
      <c r="D22" s="55">
        <f>0.42*5.49</f>
        <v>2.3058</v>
      </c>
      <c r="E22" s="53" t="s">
        <v>14</v>
      </c>
      <c r="F22" s="54"/>
      <c r="G22" s="5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45"/>
      <c r="B23" s="54"/>
      <c r="C23" s="54"/>
      <c r="D23" s="54"/>
      <c r="E23" s="53"/>
      <c r="F23" s="54"/>
      <c r="G23" s="5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45"/>
      <c r="B24" s="49" t="s">
        <v>55</v>
      </c>
      <c r="C24" s="56"/>
      <c r="D24" s="54"/>
      <c r="E24" s="57">
        <v>5.0</v>
      </c>
      <c r="F24" s="53" t="s">
        <v>56</v>
      </c>
      <c r="G24" s="5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45"/>
      <c r="B25" s="54"/>
      <c r="C25" s="54"/>
      <c r="D25" s="54"/>
      <c r="E25" s="54"/>
      <c r="F25" s="54"/>
      <c r="G25" s="5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45"/>
      <c r="B26" s="49" t="s">
        <v>57</v>
      </c>
      <c r="C26" s="56"/>
      <c r="D26" s="54"/>
      <c r="E26" s="58" t="s">
        <v>18</v>
      </c>
      <c r="F26" s="53" t="s">
        <v>58</v>
      </c>
      <c r="G26" s="5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45"/>
      <c r="B27" s="49" t="s">
        <v>59</v>
      </c>
      <c r="C27" s="56"/>
      <c r="D27" s="54"/>
      <c r="E27" s="59"/>
      <c r="F27" s="53" t="s">
        <v>16</v>
      </c>
      <c r="G27" s="5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45"/>
      <c r="B28" s="60" t="s">
        <v>60</v>
      </c>
      <c r="C28" s="56"/>
      <c r="D28" s="56"/>
      <c r="E28" s="54"/>
      <c r="F28" s="53"/>
      <c r="G28" s="5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5"/>
      <c r="B29" s="49" t="s">
        <v>21</v>
      </c>
      <c r="C29" s="54"/>
      <c r="D29" s="58">
        <v>0.95</v>
      </c>
      <c r="E29" s="54"/>
      <c r="F29" s="53"/>
      <c r="G29" s="5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45"/>
      <c r="B30" s="49" t="s">
        <v>61</v>
      </c>
      <c r="C30" s="54"/>
      <c r="D30" s="59">
        <v>0.07</v>
      </c>
      <c r="E30" s="53" t="s">
        <v>16</v>
      </c>
      <c r="F30" s="53"/>
      <c r="G30" s="5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45"/>
      <c r="B31" s="49" t="s">
        <v>23</v>
      </c>
      <c r="C31" s="54"/>
      <c r="D31" s="59">
        <v>0.055</v>
      </c>
      <c r="E31" s="53" t="s">
        <v>16</v>
      </c>
      <c r="F31" s="53"/>
      <c r="G31" s="5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45"/>
      <c r="B32" s="54"/>
      <c r="C32" s="54"/>
      <c r="D32" s="54"/>
      <c r="E32" s="54"/>
      <c r="F32" s="53"/>
      <c r="G32" s="5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45"/>
      <c r="B33" s="49" t="s">
        <v>62</v>
      </c>
      <c r="C33" s="56"/>
      <c r="D33" s="54"/>
      <c r="E33" s="58" t="s">
        <v>63</v>
      </c>
      <c r="F33" s="53" t="s">
        <v>58</v>
      </c>
      <c r="G33" s="5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45"/>
      <c r="B34" s="49" t="s">
        <v>64</v>
      </c>
      <c r="C34" s="56"/>
      <c r="D34" s="54"/>
      <c r="E34" s="55">
        <v>1.62</v>
      </c>
      <c r="F34" s="53" t="s">
        <v>14</v>
      </c>
      <c r="G34" s="5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45"/>
      <c r="B35" s="54"/>
      <c r="C35" s="54"/>
      <c r="D35" s="54"/>
      <c r="E35" s="54"/>
      <c r="F35" s="53"/>
      <c r="G35" s="5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45"/>
      <c r="B36" s="49" t="s">
        <v>65</v>
      </c>
      <c r="C36" s="56"/>
      <c r="D36" s="54"/>
      <c r="E36" s="58" t="s">
        <v>63</v>
      </c>
      <c r="F36" s="53" t="s">
        <v>58</v>
      </c>
      <c r="G36" s="5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45"/>
      <c r="B37" s="49" t="s">
        <v>66</v>
      </c>
      <c r="C37" s="56"/>
      <c r="D37" s="54"/>
      <c r="E37" s="59">
        <v>0.17</v>
      </c>
      <c r="F37" s="53" t="s">
        <v>16</v>
      </c>
      <c r="G37" s="5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45"/>
      <c r="B38" s="54"/>
      <c r="C38" s="54"/>
      <c r="D38" s="54"/>
      <c r="E38" s="54"/>
      <c r="F38" s="53"/>
      <c r="G38" s="5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45"/>
      <c r="B39" s="49" t="s">
        <v>67</v>
      </c>
      <c r="C39" s="56"/>
      <c r="D39" s="56"/>
      <c r="E39" s="54"/>
      <c r="F39" s="58" t="s">
        <v>63</v>
      </c>
      <c r="G39" s="53" t="s">
        <v>58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45"/>
      <c r="B40" s="60" t="s">
        <v>68</v>
      </c>
      <c r="C40" s="56"/>
      <c r="D40" s="54"/>
      <c r="E40" s="54"/>
      <c r="F40" s="53"/>
      <c r="G40" s="5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45"/>
      <c r="B41" s="49" t="s">
        <v>69</v>
      </c>
      <c r="C41" s="54"/>
      <c r="D41" s="55">
        <v>2122.0</v>
      </c>
      <c r="E41" s="54" t="s">
        <v>70</v>
      </c>
      <c r="F41" s="53" t="s">
        <v>14</v>
      </c>
      <c r="G41" s="5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45"/>
      <c r="B42" s="49" t="s">
        <v>71</v>
      </c>
      <c r="C42" s="54"/>
      <c r="D42" s="55">
        <v>6237.0</v>
      </c>
      <c r="E42" s="61">
        <v>6155.0</v>
      </c>
      <c r="F42" s="53" t="s">
        <v>14</v>
      </c>
      <c r="G42" s="5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45"/>
      <c r="B43" s="49" t="s">
        <v>72</v>
      </c>
      <c r="C43" s="54"/>
      <c r="D43" s="59">
        <v>0.4</v>
      </c>
      <c r="E43" s="54"/>
      <c r="F43" s="53" t="s">
        <v>16</v>
      </c>
      <c r="G43" s="5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45"/>
      <c r="B44" s="60" t="s">
        <v>73</v>
      </c>
      <c r="C44" s="56"/>
      <c r="D44" s="56"/>
      <c r="E44" s="56"/>
      <c r="F44" s="62"/>
      <c r="G44" s="5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45"/>
      <c r="B45" s="54" t="s">
        <v>74</v>
      </c>
      <c r="C45" s="63">
        <f>D41/E42</f>
        <v>0.3447603574</v>
      </c>
      <c r="D45" s="53" t="s">
        <v>16</v>
      </c>
      <c r="E45" s="45"/>
      <c r="F45" s="45"/>
      <c r="G45" s="5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45"/>
      <c r="B46" s="54" t="s">
        <v>75</v>
      </c>
      <c r="C46" s="63">
        <f>1-D22/D21</f>
        <v>0.58</v>
      </c>
      <c r="D46" s="53" t="s">
        <v>16</v>
      </c>
      <c r="E46" s="45"/>
      <c r="F46" s="45"/>
      <c r="G46" s="5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45"/>
      <c r="B47" s="49" t="s">
        <v>76</v>
      </c>
      <c r="C47" s="56"/>
      <c r="D47" s="56"/>
      <c r="E47" s="56"/>
      <c r="F47" s="53"/>
      <c r="G47" s="58" t="s">
        <v>63</v>
      </c>
      <c r="H47" s="53" t="s">
        <v>58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45"/>
      <c r="B48" s="60" t="s">
        <v>77</v>
      </c>
      <c r="C48" s="56"/>
      <c r="D48" s="56"/>
      <c r="E48" s="56"/>
      <c r="F48" s="62"/>
      <c r="G48" s="5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5"/>
      <c r="B49" s="54" t="s">
        <v>74</v>
      </c>
      <c r="C49" s="59">
        <f t="shared" ref="C49:C50" si="1">C45</f>
        <v>0.3447603574</v>
      </c>
      <c r="D49" s="53" t="s">
        <v>16</v>
      </c>
      <c r="E49" s="5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45"/>
      <c r="B50" s="54" t="s">
        <v>75</v>
      </c>
      <c r="C50" s="59">
        <f t="shared" si="1"/>
        <v>0.58</v>
      </c>
      <c r="D50" s="53" t="s">
        <v>16</v>
      </c>
      <c r="E50" s="5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45"/>
      <c r="B51" s="49" t="s">
        <v>78</v>
      </c>
      <c r="C51" s="62"/>
      <c r="D51" s="56"/>
      <c r="E51" s="62"/>
      <c r="F51" s="53"/>
      <c r="G51" s="58" t="s">
        <v>63</v>
      </c>
      <c r="H51" s="53" t="s">
        <v>58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45"/>
      <c r="B52" s="60" t="s">
        <v>79</v>
      </c>
      <c r="C52" s="62"/>
      <c r="D52" s="56"/>
      <c r="E52" s="53"/>
      <c r="F52" s="53"/>
      <c r="G52" s="5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45"/>
      <c r="B53" s="54" t="s">
        <v>74</v>
      </c>
      <c r="C53" s="59">
        <f>C49</f>
        <v>0.3447603574</v>
      </c>
      <c r="D53" s="53" t="s">
        <v>16</v>
      </c>
      <c r="E53" s="5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45"/>
      <c r="B54" s="54"/>
      <c r="C54" s="64"/>
      <c r="D54" s="53"/>
      <c r="E54" s="5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45"/>
      <c r="B55" s="54"/>
      <c r="C55" s="54"/>
      <c r="D55" s="54"/>
      <c r="E55" s="53"/>
      <c r="F55" s="53"/>
      <c r="G55" s="5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45"/>
      <c r="B56" s="60" t="s">
        <v>80</v>
      </c>
      <c r="C56" s="56"/>
      <c r="D56" s="56"/>
      <c r="E56" s="62"/>
      <c r="F56" s="53"/>
      <c r="G56" s="5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45"/>
      <c r="B57" s="49" t="s">
        <v>81</v>
      </c>
      <c r="C57" s="54"/>
      <c r="D57" s="54"/>
      <c r="E57" s="59">
        <v>0.4</v>
      </c>
      <c r="F57" s="53" t="s">
        <v>16</v>
      </c>
      <c r="G57" s="5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45"/>
      <c r="B58" s="49" t="s">
        <v>82</v>
      </c>
      <c r="C58" s="56"/>
      <c r="D58" s="54"/>
      <c r="E58" s="59">
        <v>0.4</v>
      </c>
      <c r="F58" s="53" t="s">
        <v>16</v>
      </c>
      <c r="G58" s="5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45"/>
      <c r="B59" s="49" t="s">
        <v>83</v>
      </c>
      <c r="C59" s="56"/>
      <c r="D59" s="54"/>
      <c r="E59" s="59">
        <f>1-E57-E58</f>
        <v>0.2</v>
      </c>
      <c r="F59" s="53" t="s">
        <v>16</v>
      </c>
      <c r="G59" s="5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45"/>
      <c r="B60" s="54"/>
      <c r="C60" s="54"/>
      <c r="D60" s="54"/>
      <c r="E60" s="54"/>
      <c r="F60" s="54"/>
      <c r="G60" s="5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45"/>
      <c r="B61" s="49" t="s">
        <v>84</v>
      </c>
      <c r="C61" s="56"/>
      <c r="D61" s="54"/>
      <c r="E61" s="59">
        <v>0.08</v>
      </c>
      <c r="F61" s="53" t="s">
        <v>16</v>
      </c>
      <c r="G61" s="5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45"/>
      <c r="B62" s="54"/>
      <c r="C62" s="54"/>
      <c r="D62" s="54"/>
      <c r="E62" s="53"/>
      <c r="F62" s="53"/>
      <c r="G62" s="5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45"/>
      <c r="B63" s="49" t="s">
        <v>85</v>
      </c>
      <c r="C63" s="56"/>
      <c r="D63" s="54"/>
      <c r="E63" s="63">
        <f>1-E61/C53</f>
        <v>0.7679547597</v>
      </c>
      <c r="F63" s="53" t="s">
        <v>16</v>
      </c>
      <c r="G63" s="5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45"/>
      <c r="B64" s="49" t="s">
        <v>86</v>
      </c>
      <c r="C64" s="56"/>
      <c r="D64" s="54"/>
      <c r="E64" s="58" t="s">
        <v>18</v>
      </c>
      <c r="F64" s="53" t="s">
        <v>58</v>
      </c>
      <c r="G64" s="5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45"/>
      <c r="B65" s="49" t="s">
        <v>87</v>
      </c>
      <c r="C65" s="56"/>
      <c r="D65" s="54"/>
      <c r="E65" s="59"/>
      <c r="F65" s="53" t="s">
        <v>16</v>
      </c>
      <c r="G65" s="5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5"/>
      <c r="B66" s="54"/>
      <c r="C66" s="54"/>
      <c r="D66" s="54"/>
      <c r="E66" s="53"/>
      <c r="F66" s="53"/>
      <c r="G66" s="5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45"/>
      <c r="B67" s="49" t="s">
        <v>88</v>
      </c>
      <c r="C67" s="56"/>
      <c r="D67" s="54"/>
      <c r="E67" s="58" t="s">
        <v>18</v>
      </c>
      <c r="F67" s="53" t="s">
        <v>58</v>
      </c>
      <c r="G67" s="5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45"/>
      <c r="B68" s="49" t="s">
        <v>89</v>
      </c>
      <c r="C68" s="56"/>
      <c r="D68" s="54"/>
      <c r="E68" s="58"/>
      <c r="F68" s="53"/>
      <c r="G68" s="5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5"/>
      <c r="B69" s="54"/>
      <c r="C69" s="54"/>
      <c r="D69" s="54"/>
      <c r="E69" s="53"/>
      <c r="F69" s="53"/>
      <c r="G69" s="5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45"/>
      <c r="B70" s="60" t="s">
        <v>90</v>
      </c>
      <c r="C70" s="56"/>
      <c r="D70" s="56"/>
      <c r="E70" s="62"/>
      <c r="F70" s="62"/>
      <c r="G70" s="56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45"/>
      <c r="B71" s="65" t="s">
        <v>91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45"/>
      <c r="B72" s="66" t="str">
        <f>IF(D21&lt;0,"You have entered a negative current EPS. This model will not work"," ")</f>
        <v> </v>
      </c>
      <c r="C72" s="54"/>
      <c r="D72" s="54"/>
      <c r="E72" s="53"/>
      <c r="F72" s="53"/>
      <c r="G72" s="5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45"/>
      <c r="B73" s="66" t="str">
        <f>IF(E34&lt;0,"Historical Growth Rate cannot be calculated with negative EPS. Weight it at zero"," ")</f>
        <v> </v>
      </c>
      <c r="C73" s="54"/>
      <c r="D73" s="54"/>
      <c r="E73" s="53"/>
      <c r="F73" s="53"/>
      <c r="G73" s="5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45"/>
      <c r="B74" s="66" t="str">
        <f>IF(C49&lt;E61,"The ROC for the high growth period is very low. You will get a very low fundamental growth rate"," ")</f>
        <v> </v>
      </c>
      <c r="C74" s="54"/>
      <c r="D74" s="54"/>
      <c r="E74" s="53"/>
      <c r="F74" s="53"/>
      <c r="G74" s="5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/>
      <c r="B75" s="66" t="str">
        <f>IF(C53&gt;E61," ","The ROC for the stable period is less (or =) than the stable growth rate. You cannot afford any dividends.")</f>
        <v> </v>
      </c>
      <c r="C75" s="54"/>
      <c r="D75" s="54"/>
      <c r="E75" s="53"/>
      <c r="F75" s="53"/>
      <c r="G75" s="5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45"/>
      <c r="B76" s="66" t="str">
        <f>IF(E57+E58+E59=1," ","Your weights on the growth rates do not add up to one")</f>
        <v> </v>
      </c>
      <c r="C76" s="54"/>
      <c r="D76" s="54"/>
      <c r="E76" s="53"/>
      <c r="F76" s="53"/>
      <c r="G76" s="5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45"/>
      <c r="B77" s="66" t="str">
        <f>IF(E61&gt;10%,"This is a high growth rate for a stable period"," ")</f>
        <v> </v>
      </c>
      <c r="C77" s="54"/>
      <c r="D77" s="54"/>
      <c r="E77" s="53"/>
      <c r="F77" s="53"/>
      <c r="G77" s="5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45"/>
      <c r="B78" s="66"/>
      <c r="C78" s="54"/>
      <c r="D78" s="54"/>
      <c r="E78" s="53"/>
      <c r="F78" s="53"/>
      <c r="G78" s="5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45"/>
      <c r="B79" s="51" t="s">
        <v>92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45"/>
      <c r="B80" s="49" t="s">
        <v>34</v>
      </c>
      <c r="C80" s="54"/>
      <c r="D80" s="63">
        <f>IF(E26="Yes",E27,D30+D29*D31)</f>
        <v>0.12225</v>
      </c>
      <c r="E80" s="53"/>
      <c r="F80" s="53"/>
      <c r="G80" s="54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45"/>
      <c r="B81" s="54"/>
      <c r="C81" s="54"/>
      <c r="D81" s="54"/>
      <c r="E81" s="53"/>
      <c r="F81" s="53"/>
      <c r="G81" s="54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45"/>
      <c r="B82" s="49" t="s">
        <v>93</v>
      </c>
      <c r="C82" s="54"/>
      <c r="D82" s="67">
        <f>D21</f>
        <v>5.49</v>
      </c>
      <c r="E82" s="53"/>
      <c r="F82" s="53"/>
      <c r="G82" s="5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45"/>
      <c r="B83" s="54"/>
      <c r="C83" s="54"/>
      <c r="D83" s="54"/>
      <c r="E83" s="53"/>
      <c r="F83" s="53"/>
      <c r="G83" s="5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45"/>
      <c r="B84" s="49" t="s">
        <v>94</v>
      </c>
      <c r="C84" s="56"/>
      <c r="D84" s="54"/>
      <c r="E84" s="53"/>
      <c r="F84" s="53"/>
      <c r="G84" s="54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45"/>
      <c r="B85" s="66"/>
      <c r="C85" s="66"/>
      <c r="D85" s="66" t="s">
        <v>95</v>
      </c>
      <c r="E85" s="68" t="s">
        <v>96</v>
      </c>
      <c r="F85" s="68"/>
      <c r="G85" s="66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45"/>
      <c r="B86" s="49" t="s">
        <v>97</v>
      </c>
      <c r="C86" s="54"/>
      <c r="D86" s="63">
        <f>(D21/E34)^(0.2)-1</f>
        <v>0.276472509</v>
      </c>
      <c r="E86" s="63">
        <f t="shared" ref="E86:E88" si="2">E57</f>
        <v>0.4</v>
      </c>
      <c r="F86" s="53"/>
      <c r="G86" s="54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45"/>
      <c r="B87" s="49" t="s">
        <v>98</v>
      </c>
      <c r="C87" s="54"/>
      <c r="D87" s="63">
        <f>E37</f>
        <v>0.17</v>
      </c>
      <c r="E87" s="63">
        <f t="shared" si="2"/>
        <v>0.4</v>
      </c>
      <c r="F87" s="53"/>
      <c r="G87" s="54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45"/>
      <c r="B88" s="49" t="s">
        <v>99</v>
      </c>
      <c r="C88" s="54"/>
      <c r="D88" s="63">
        <f>IF(G47="No",C46*C45,C50*C49)</f>
        <v>0.1999610073</v>
      </c>
      <c r="E88" s="63">
        <f t="shared" si="2"/>
        <v>0.2</v>
      </c>
      <c r="F88" s="53"/>
      <c r="G88" s="5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45"/>
      <c r="B89" s="60" t="s">
        <v>100</v>
      </c>
      <c r="C89" s="66"/>
      <c r="D89" s="69">
        <f>D86*E86+D87*E87+D88*E88</f>
        <v>0.2185812051</v>
      </c>
      <c r="E89" s="68"/>
      <c r="F89" s="68"/>
      <c r="G89" s="66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45"/>
      <c r="B90" s="54"/>
      <c r="C90" s="54"/>
      <c r="D90" s="54"/>
      <c r="E90" s="53"/>
      <c r="F90" s="53"/>
      <c r="G90" s="5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45"/>
      <c r="B91" s="49" t="s">
        <v>101</v>
      </c>
      <c r="C91" s="56"/>
      <c r="D91" s="54"/>
      <c r="E91" s="63">
        <f>1-C50</f>
        <v>0.42</v>
      </c>
      <c r="F91" s="53"/>
      <c r="G91" s="54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45"/>
      <c r="B92" s="54"/>
      <c r="C92" s="54"/>
      <c r="D92" s="54"/>
      <c r="E92" s="64"/>
      <c r="F92" s="53"/>
      <c r="G92" s="5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45"/>
      <c r="B93" s="60" t="s">
        <v>102</v>
      </c>
      <c r="C93" s="56"/>
      <c r="D93" s="56"/>
      <c r="E93" s="70"/>
      <c r="F93" s="62"/>
      <c r="G93" s="54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45"/>
      <c r="B94" s="45"/>
      <c r="C94" s="45">
        <f>IF(E24=0," ",1)</f>
        <v>1</v>
      </c>
      <c r="D94" s="45">
        <f>IF(E24=1," ",2)</f>
        <v>2</v>
      </c>
      <c r="E94" s="45">
        <f>IF(E24&lt;3," ",3)</f>
        <v>3</v>
      </c>
      <c r="F94" s="45">
        <f>IF(E24&lt;4," ",4)</f>
        <v>4</v>
      </c>
      <c r="G94" s="45">
        <f>IF(E24&lt;5," ",5)</f>
        <v>5</v>
      </c>
      <c r="H94" s="71" t="str">
        <f>IF($E$24&lt;6," ",6)</f>
        <v> </v>
      </c>
      <c r="I94" s="71" t="str">
        <f>IF($E$24&lt;7," ",7)</f>
        <v> </v>
      </c>
      <c r="J94" s="71" t="str">
        <f>IF($E$24&lt;8," ",8)</f>
        <v> </v>
      </c>
      <c r="K94" s="71" t="str">
        <f>IF($E$24&lt;9," ",9)</f>
        <v> </v>
      </c>
      <c r="L94" s="71" t="str">
        <f>IF($E$24&lt;10," ",10)</f>
        <v> 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45"/>
      <c r="B95" s="45" t="s">
        <v>103</v>
      </c>
      <c r="C95" s="72">
        <f>D82*(1+D89)*E91</f>
        <v>2.809804543</v>
      </c>
      <c r="D95" s="72">
        <f t="shared" ref="D95:L95" si="3">IF($E$24&lt;D94," ",C95*(1+$D$89))</f>
        <v>3.423975006</v>
      </c>
      <c r="E95" s="72">
        <f t="shared" si="3"/>
        <v>4.172391588</v>
      </c>
      <c r="F95" s="72">
        <f t="shared" si="3"/>
        <v>5.08439797</v>
      </c>
      <c r="G95" s="72">
        <f t="shared" si="3"/>
        <v>6.195751805</v>
      </c>
      <c r="H95" s="72" t="str">
        <f t="shared" si="3"/>
        <v> </v>
      </c>
      <c r="I95" s="72" t="str">
        <f t="shared" si="3"/>
        <v> </v>
      </c>
      <c r="J95" s="72" t="str">
        <f t="shared" si="3"/>
        <v> </v>
      </c>
      <c r="K95" s="72" t="str">
        <f t="shared" si="3"/>
        <v> </v>
      </c>
      <c r="L95" s="72" t="str">
        <f t="shared" si="3"/>
        <v> 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45"/>
      <c r="B96" s="54"/>
      <c r="C96" s="54"/>
      <c r="D96" s="54"/>
      <c r="E96" s="53"/>
      <c r="F96" s="53"/>
      <c r="G96" s="5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45"/>
      <c r="B97" s="49" t="s">
        <v>104</v>
      </c>
      <c r="C97" s="56"/>
      <c r="D97" s="54"/>
      <c r="E97" s="63">
        <f>E61</f>
        <v>0.08</v>
      </c>
      <c r="F97" s="53"/>
      <c r="G97" s="5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45"/>
      <c r="B98" s="49" t="s">
        <v>105</v>
      </c>
      <c r="C98" s="56"/>
      <c r="D98" s="54"/>
      <c r="E98" s="63">
        <f>IF(E64="No",E63,E65)</f>
        <v>0.7679547597</v>
      </c>
      <c r="F98" s="53"/>
      <c r="G98" s="5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45"/>
      <c r="B99" s="49" t="s">
        <v>106</v>
      </c>
      <c r="C99" s="56"/>
      <c r="D99" s="54"/>
      <c r="E99" s="63">
        <f>IF(E67="No",D30+D29*D31,D30+E68*D31)</f>
        <v>0.12225</v>
      </c>
      <c r="F99" s="53"/>
      <c r="G99" s="54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45"/>
      <c r="B100" s="48" t="s">
        <v>107</v>
      </c>
      <c r="C100" s="73"/>
      <c r="D100" s="74"/>
      <c r="E100" s="72">
        <f>D82*(1+D89)^E24*(1+E97)*E98/(E99-E97)</f>
        <v>289.5858921</v>
      </c>
      <c r="F100" s="45"/>
      <c r="G100" s="7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45"/>
      <c r="B101" s="54"/>
      <c r="C101" s="54"/>
      <c r="D101" s="54"/>
      <c r="E101" s="53"/>
      <c r="F101" s="53"/>
      <c r="G101" s="54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45"/>
      <c r="B102" s="48" t="s">
        <v>108</v>
      </c>
      <c r="C102" s="73"/>
      <c r="D102" s="73"/>
      <c r="E102" s="45"/>
      <c r="F102" s="72">
        <f>D82*E91*(1+D89)*(1-(1+D89)^E24/(1+D80)^E24)/(D80-D89)</f>
        <v>14.86028717</v>
      </c>
      <c r="G102" s="5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45"/>
      <c r="B103" s="48" t="s">
        <v>109</v>
      </c>
      <c r="C103" s="73"/>
      <c r="D103" s="74"/>
      <c r="E103" s="45"/>
      <c r="F103" s="72">
        <f>E100/(1+D80)^E24</f>
        <v>162.6781894</v>
      </c>
      <c r="G103" s="5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45"/>
      <c r="B104" s="48" t="s">
        <v>110</v>
      </c>
      <c r="C104" s="74"/>
      <c r="D104" s="74"/>
      <c r="E104" s="45"/>
      <c r="F104" s="72">
        <f>F102+F103</f>
        <v>177.5384765</v>
      </c>
      <c r="G104" s="5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45"/>
      <c r="B105" s="54"/>
      <c r="C105" s="54"/>
      <c r="D105" s="54"/>
      <c r="E105" s="53"/>
      <c r="F105" s="53"/>
      <c r="G105" s="5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45"/>
      <c r="B106" s="54"/>
      <c r="C106" s="54"/>
      <c r="D106" s="54"/>
      <c r="E106" s="53"/>
      <c r="F106" s="53"/>
      <c r="G106" s="5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45"/>
      <c r="B107" s="75" t="s">
        <v>111</v>
      </c>
      <c r="C107" s="56"/>
      <c r="D107" s="54"/>
      <c r="E107" s="53"/>
      <c r="F107" s="53"/>
      <c r="G107" s="54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45"/>
      <c r="B108" s="49" t="s">
        <v>112</v>
      </c>
      <c r="C108" s="54"/>
      <c r="D108" s="54"/>
      <c r="E108" s="67">
        <f>D22/E99</f>
        <v>18.86134969</v>
      </c>
      <c r="F108" s="53"/>
      <c r="G108" s="54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45"/>
      <c r="B109" s="49" t="s">
        <v>113</v>
      </c>
      <c r="C109" s="54"/>
      <c r="D109" s="54"/>
      <c r="E109" s="67">
        <f>D22*(1+E97)/(E99-E97)-E108</f>
        <v>40.07981007</v>
      </c>
      <c r="F109" s="53"/>
      <c r="G109" s="54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45"/>
      <c r="B110" s="49" t="s">
        <v>114</v>
      </c>
      <c r="C110" s="56"/>
      <c r="D110" s="54"/>
      <c r="E110" s="67">
        <f>F104-E109-E108</f>
        <v>118.5973168</v>
      </c>
      <c r="F110" s="53"/>
      <c r="G110" s="5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45"/>
      <c r="B111" s="49" t="s">
        <v>110</v>
      </c>
      <c r="C111" s="54"/>
      <c r="D111" s="54"/>
      <c r="E111" s="67">
        <f>SUM(E108:E110)</f>
        <v>177.5384765</v>
      </c>
      <c r="F111" s="53"/>
      <c r="G111" s="54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45"/>
      <c r="B114" s="45"/>
      <c r="C114" s="53" t="s">
        <v>95</v>
      </c>
      <c r="D114" s="76" t="s">
        <v>115</v>
      </c>
      <c r="E114" s="62"/>
      <c r="F114" s="77" t="s">
        <v>116</v>
      </c>
      <c r="G114" s="53" t="s">
        <v>38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5"/>
      <c r="B115" s="45"/>
      <c r="C115" s="53" t="s">
        <v>117</v>
      </c>
      <c r="D115" s="53" t="s">
        <v>118</v>
      </c>
      <c r="E115" s="53"/>
      <c r="F115" s="53">
        <v>0.0</v>
      </c>
      <c r="G115" s="67">
        <f t="shared" ref="G115:G125" si="4">$D$22*(1+$D$89)*(1-(1+$D$89)^F115/(1+$D$80)^F115)/($D$80-$D$89)+$D$21*(1+$D$89)^F115*(1+$E$97)*$E$98/(($E$99-$E$97)*(1+$D$80)^F115)-$E$109-$E$108</f>
        <v>48.83061209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45"/>
      <c r="B116" s="45"/>
      <c r="C116" s="63">
        <f>D89-0.1</f>
        <v>0.1185812051</v>
      </c>
      <c r="D116" s="67">
        <f t="shared" ref="D116:D132" si="5">$D$22*(1+C116)*(1-(1+C116)^$E$24/(1+$D$80)^$E$24)/($D$80-C116)+$D$21*(1+C116)^$E$24*(1+$E$97)*$E$98/(($E$99-$E$97)*(1+$D$80)^$E$24)-$E$109-$E$108</f>
        <v>58.49690793</v>
      </c>
      <c r="E116" s="53"/>
      <c r="F116" s="53">
        <v>1.0</v>
      </c>
      <c r="G116" s="67">
        <f t="shared" si="4"/>
        <v>60.5852026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45"/>
      <c r="B117" s="45"/>
      <c r="C117" s="63">
        <f t="shared" ref="C117:C132" si="6">C116+0.01</f>
        <v>0.1285812051</v>
      </c>
      <c r="D117" s="67">
        <f t="shared" si="5"/>
        <v>63.63069146</v>
      </c>
      <c r="E117" s="53"/>
      <c r="F117" s="53">
        <v>2.0</v>
      </c>
      <c r="G117" s="67">
        <f t="shared" si="4"/>
        <v>73.34877852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45"/>
      <c r="B118" s="45"/>
      <c r="C118" s="63">
        <f t="shared" si="6"/>
        <v>0.1385812051</v>
      </c>
      <c r="D118" s="67">
        <f t="shared" si="5"/>
        <v>68.94595316</v>
      </c>
      <c r="E118" s="53"/>
      <c r="F118" s="53">
        <v>3.0</v>
      </c>
      <c r="G118" s="67">
        <f t="shared" si="4"/>
        <v>87.20794868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45"/>
      <c r="B119" s="45"/>
      <c r="C119" s="63">
        <f t="shared" si="6"/>
        <v>0.1485812051</v>
      </c>
      <c r="D119" s="67">
        <f t="shared" si="5"/>
        <v>74.44751013</v>
      </c>
      <c r="E119" s="53"/>
      <c r="F119" s="53">
        <v>4.0</v>
      </c>
      <c r="G119" s="67">
        <f t="shared" si="4"/>
        <v>102.2567562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45"/>
      <c r="B120" s="45"/>
      <c r="C120" s="63">
        <f t="shared" si="6"/>
        <v>0.1585812051</v>
      </c>
      <c r="D120" s="67">
        <f t="shared" si="5"/>
        <v>80.14026432</v>
      </c>
      <c r="E120" s="53"/>
      <c r="F120" s="53">
        <v>5.0</v>
      </c>
      <c r="G120" s="67">
        <f t="shared" si="4"/>
        <v>118.5973168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45"/>
      <c r="B121" s="45"/>
      <c r="C121" s="63">
        <f t="shared" si="6"/>
        <v>0.1685812051</v>
      </c>
      <c r="D121" s="67">
        <f t="shared" si="5"/>
        <v>86.02920327</v>
      </c>
      <c r="E121" s="53"/>
      <c r="F121" s="53">
        <v>6.0</v>
      </c>
      <c r="G121" s="67">
        <f t="shared" si="4"/>
        <v>136.3405112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45"/>
      <c r="B122" s="45"/>
      <c r="C122" s="63">
        <f t="shared" si="6"/>
        <v>0.1785812051</v>
      </c>
      <c r="D122" s="67">
        <f t="shared" si="5"/>
        <v>92.11940081</v>
      </c>
      <c r="E122" s="53"/>
      <c r="F122" s="53">
        <v>7.0</v>
      </c>
      <c r="G122" s="67">
        <f t="shared" si="4"/>
        <v>155.6067382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45"/>
      <c r="B123" s="45"/>
      <c r="C123" s="63">
        <f t="shared" si="6"/>
        <v>0.1885812051</v>
      </c>
      <c r="D123" s="67">
        <f t="shared" si="5"/>
        <v>98.41601787</v>
      </c>
      <c r="E123" s="53"/>
      <c r="F123" s="53">
        <v>8.0</v>
      </c>
      <c r="G123" s="67">
        <f t="shared" si="4"/>
        <v>176.5267311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5"/>
      <c r="B124" s="45"/>
      <c r="C124" s="63">
        <f t="shared" si="6"/>
        <v>0.1985812051</v>
      </c>
      <c r="D124" s="67">
        <f t="shared" si="5"/>
        <v>104.9243032</v>
      </c>
      <c r="E124" s="53"/>
      <c r="F124" s="53">
        <v>9.0</v>
      </c>
      <c r="G124" s="67">
        <f t="shared" si="4"/>
        <v>199.2424453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45"/>
      <c r="B125" s="45"/>
      <c r="C125" s="63">
        <f t="shared" si="6"/>
        <v>0.2085812051</v>
      </c>
      <c r="D125" s="67">
        <f t="shared" si="5"/>
        <v>111.6495939</v>
      </c>
      <c r="E125" s="53"/>
      <c r="F125" s="53">
        <v>10.0</v>
      </c>
      <c r="G125" s="67">
        <f t="shared" si="4"/>
        <v>223.908021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45"/>
      <c r="B126" s="45"/>
      <c r="C126" s="63">
        <f t="shared" si="6"/>
        <v>0.2185812051</v>
      </c>
      <c r="D126" s="67">
        <f t="shared" si="5"/>
        <v>118.5973168</v>
      </c>
      <c r="E126" s="53"/>
      <c r="F126" s="53"/>
      <c r="G126" s="53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45"/>
      <c r="B127" s="45"/>
      <c r="C127" s="63">
        <f t="shared" si="6"/>
        <v>0.2285812051</v>
      </c>
      <c r="D127" s="67">
        <f t="shared" si="5"/>
        <v>125.7729882</v>
      </c>
      <c r="E127" s="53"/>
      <c r="F127" s="53"/>
      <c r="G127" s="53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45"/>
      <c r="B128" s="45"/>
      <c r="C128" s="63">
        <f t="shared" si="6"/>
        <v>0.2385812051</v>
      </c>
      <c r="D128" s="67">
        <f t="shared" si="5"/>
        <v>133.1822157</v>
      </c>
      <c r="E128" s="53"/>
      <c r="F128" s="53"/>
      <c r="G128" s="53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45"/>
      <c r="B129" s="45"/>
      <c r="C129" s="63">
        <f t="shared" si="6"/>
        <v>0.2485812051</v>
      </c>
      <c r="D129" s="67">
        <f t="shared" si="5"/>
        <v>140.830698</v>
      </c>
      <c r="E129" s="53"/>
      <c r="F129" s="53"/>
      <c r="G129" s="53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45"/>
      <c r="B130" s="45"/>
      <c r="C130" s="63">
        <f t="shared" si="6"/>
        <v>0.2585812051</v>
      </c>
      <c r="D130" s="67">
        <f t="shared" si="5"/>
        <v>148.7242263</v>
      </c>
      <c r="E130" s="53"/>
      <c r="F130" s="53"/>
      <c r="G130" s="53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5"/>
      <c r="B131" s="45"/>
      <c r="C131" s="63">
        <f t="shared" si="6"/>
        <v>0.2685812051</v>
      </c>
      <c r="D131" s="67">
        <f t="shared" si="5"/>
        <v>156.8686847</v>
      </c>
      <c r="E131" s="53"/>
      <c r="F131" s="53"/>
      <c r="G131" s="53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45"/>
      <c r="B132" s="45"/>
      <c r="C132" s="63">
        <f t="shared" si="6"/>
        <v>0.2785812051</v>
      </c>
      <c r="D132" s="67">
        <f t="shared" si="5"/>
        <v>165.2700512</v>
      </c>
      <c r="E132" s="53"/>
      <c r="F132" s="53"/>
      <c r="G132" s="53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6">
    <mergeCell ref="B1:I1"/>
    <mergeCell ref="B3:I3"/>
    <mergeCell ref="B4:I4"/>
    <mergeCell ref="B20:I20"/>
    <mergeCell ref="B71:I71"/>
    <mergeCell ref="B79:I7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.11"/>
  </cols>
  <sheetData>
    <row r="1">
      <c r="A1" s="45"/>
      <c r="B1" s="78" t="s">
        <v>119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45"/>
      <c r="B2" s="78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45"/>
      <c r="B3" s="79" t="s">
        <v>120</v>
      </c>
      <c r="C3" s="50"/>
      <c r="D3" s="50"/>
      <c r="E3" s="50"/>
      <c r="F3" s="50"/>
      <c r="G3" s="50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45"/>
      <c r="B4" s="79" t="s">
        <v>121</v>
      </c>
      <c r="C4" s="50"/>
      <c r="D4" s="50"/>
      <c r="E4" s="50"/>
      <c r="F4" s="50"/>
      <c r="G4" s="5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45"/>
      <c r="B5" s="79" t="s">
        <v>122</v>
      </c>
      <c r="C5" s="50"/>
      <c r="D5" s="5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45"/>
      <c r="B8" s="45" t="s">
        <v>42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45"/>
      <c r="B9" s="80" t="s">
        <v>123</v>
      </c>
      <c r="C9" s="50"/>
      <c r="D9" s="50"/>
      <c r="E9" s="50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45"/>
      <c r="B10" s="80" t="s">
        <v>124</v>
      </c>
      <c r="C10" s="50"/>
      <c r="D10" s="50"/>
      <c r="E10" s="50"/>
      <c r="F10" s="50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45"/>
      <c r="B11" s="80" t="s">
        <v>125</v>
      </c>
      <c r="C11" s="50"/>
      <c r="D11" s="50"/>
      <c r="E11" s="50"/>
      <c r="F11" s="50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45"/>
      <c r="B12" s="80" t="s">
        <v>126</v>
      </c>
      <c r="C12" s="50"/>
      <c r="D12" s="50"/>
      <c r="E12" s="50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45"/>
      <c r="B14" s="80" t="s">
        <v>127</v>
      </c>
      <c r="C14" s="50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45"/>
      <c r="B15" s="80" t="s">
        <v>128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45"/>
      <c r="B16" s="80" t="s">
        <v>129</v>
      </c>
      <c r="C16" s="50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45"/>
      <c r="B17" s="80" t="s">
        <v>130</v>
      </c>
      <c r="C17" s="5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45"/>
      <c r="B18" s="80" t="s">
        <v>131</v>
      </c>
      <c r="C18" s="5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45"/>
      <c r="B21" s="81" t="s">
        <v>54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5"/>
      <c r="B22" s="80" t="s">
        <v>13</v>
      </c>
      <c r="C22" s="45"/>
      <c r="D22" s="82">
        <v>1.43</v>
      </c>
      <c r="E22" s="45" t="s">
        <v>14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45"/>
      <c r="B23" s="80" t="s">
        <v>33</v>
      </c>
      <c r="C23" s="45"/>
      <c r="D23" s="82">
        <v>0.56</v>
      </c>
      <c r="E23" s="45" t="s">
        <v>14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45"/>
      <c r="B25" s="80" t="s">
        <v>57</v>
      </c>
      <c r="C25" s="50"/>
      <c r="D25" s="45"/>
      <c r="E25" s="83" t="s">
        <v>18</v>
      </c>
      <c r="F25" s="45" t="s">
        <v>58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45"/>
      <c r="B26" s="80" t="s">
        <v>59</v>
      </c>
      <c r="C26" s="45"/>
      <c r="D26" s="45"/>
      <c r="E26" s="59"/>
      <c r="F26" s="45" t="s">
        <v>16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45"/>
      <c r="B27" s="84" t="s">
        <v>60</v>
      </c>
      <c r="C27" s="50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45"/>
      <c r="B28" s="80" t="s">
        <v>21</v>
      </c>
      <c r="C28" s="45"/>
      <c r="D28" s="83">
        <v>1.1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5"/>
      <c r="B29" s="45" t="s">
        <v>61</v>
      </c>
      <c r="C29" s="45"/>
      <c r="D29" s="59">
        <v>0.07</v>
      </c>
      <c r="E29" s="45" t="s">
        <v>16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45"/>
      <c r="B30" s="45" t="s">
        <v>23</v>
      </c>
      <c r="C30" s="45"/>
      <c r="D30" s="59">
        <v>0.055</v>
      </c>
      <c r="E30" s="45" t="s">
        <v>16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45"/>
      <c r="B32" s="80" t="s">
        <v>132</v>
      </c>
      <c r="C32" s="50"/>
      <c r="D32" s="5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45"/>
      <c r="B33" s="80" t="s">
        <v>55</v>
      </c>
      <c r="C33" s="50"/>
      <c r="D33" s="45"/>
      <c r="E33" s="85">
        <v>10.0</v>
      </c>
      <c r="F33" s="45" t="s">
        <v>56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45"/>
      <c r="B35" s="80" t="s">
        <v>62</v>
      </c>
      <c r="C35" s="50"/>
      <c r="D35" s="45"/>
      <c r="E35" s="83" t="s">
        <v>63</v>
      </c>
      <c r="F35" s="45" t="s">
        <v>58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45"/>
      <c r="B36" s="80" t="s">
        <v>64</v>
      </c>
      <c r="C36" s="50"/>
      <c r="D36" s="45"/>
      <c r="E36" s="82">
        <v>0.61</v>
      </c>
      <c r="F36" s="45" t="s">
        <v>14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45"/>
      <c r="B38" s="80" t="s">
        <v>65</v>
      </c>
      <c r="C38" s="50"/>
      <c r="D38" s="45"/>
      <c r="E38" s="83" t="s">
        <v>63</v>
      </c>
      <c r="F38" s="45" t="s">
        <v>58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45"/>
      <c r="B39" s="80" t="s">
        <v>66</v>
      </c>
      <c r="C39" s="50"/>
      <c r="D39" s="45"/>
      <c r="E39" s="59">
        <v>0.17</v>
      </c>
      <c r="F39" s="45" t="s">
        <v>16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45"/>
      <c r="B41" s="80" t="s">
        <v>67</v>
      </c>
      <c r="C41" s="50"/>
      <c r="D41" s="50"/>
      <c r="E41" s="45"/>
      <c r="F41" s="83" t="s">
        <v>18</v>
      </c>
      <c r="G41" s="45" t="s">
        <v>58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45"/>
      <c r="B42" s="84" t="s">
        <v>68</v>
      </c>
      <c r="C42" s="50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45"/>
      <c r="B43" s="80" t="s">
        <v>69</v>
      </c>
      <c r="C43" s="45"/>
      <c r="D43" s="82">
        <v>0.0</v>
      </c>
      <c r="E43" s="45" t="s">
        <v>70</v>
      </c>
      <c r="F43" s="45" t="s">
        <v>14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45"/>
      <c r="B44" s="80" t="s">
        <v>71</v>
      </c>
      <c r="C44" s="45"/>
      <c r="D44" s="82">
        <v>0.0</v>
      </c>
      <c r="E44" s="86">
        <v>0.0</v>
      </c>
      <c r="F44" s="45" t="s">
        <v>14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45"/>
      <c r="B45" s="80" t="s">
        <v>72</v>
      </c>
      <c r="C45" s="45"/>
      <c r="D45" s="59">
        <v>0.0</v>
      </c>
      <c r="E45" s="45"/>
      <c r="F45" s="45" t="s">
        <v>16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45"/>
      <c r="B46" s="84" t="s">
        <v>73</v>
      </c>
      <c r="C46" s="50"/>
      <c r="D46" s="50"/>
      <c r="E46" s="50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45"/>
      <c r="B47" s="45" t="s">
        <v>74</v>
      </c>
      <c r="C47" s="59" t="str">
        <f>IF(E44&gt;0,D43/E44,"NA")</f>
        <v>NA</v>
      </c>
      <c r="D47" s="45" t="s">
        <v>16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45"/>
      <c r="B48" s="45" t="s">
        <v>75</v>
      </c>
      <c r="C48" s="59">
        <f>1-D23/D22</f>
        <v>0.6083916084</v>
      </c>
      <c r="D48" s="45" t="s">
        <v>16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5"/>
      <c r="B49" s="80" t="s">
        <v>76</v>
      </c>
      <c r="C49" s="50"/>
      <c r="D49" s="50"/>
      <c r="E49" s="50"/>
      <c r="F49" s="45"/>
      <c r="G49" s="83" t="s">
        <v>18</v>
      </c>
      <c r="H49" s="45" t="s">
        <v>58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45"/>
      <c r="B50" s="84" t="s">
        <v>77</v>
      </c>
      <c r="C50" s="50"/>
      <c r="D50" s="50"/>
      <c r="E50" s="50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45"/>
      <c r="B51" s="45" t="s">
        <v>74</v>
      </c>
      <c r="C51" s="59" t="str">
        <f t="shared" ref="C51:C52" si="1">C47</f>
        <v>NA</v>
      </c>
      <c r="D51" s="45" t="s">
        <v>16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45"/>
      <c r="B52" s="45" t="s">
        <v>75</v>
      </c>
      <c r="C52" s="59">
        <f t="shared" si="1"/>
        <v>0.6083916084</v>
      </c>
      <c r="D52" s="45" t="s">
        <v>16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45"/>
      <c r="B53" s="80" t="s">
        <v>78</v>
      </c>
      <c r="C53" s="50"/>
      <c r="D53" s="50"/>
      <c r="E53" s="50"/>
      <c r="F53" s="45"/>
      <c r="G53" s="83" t="s">
        <v>63</v>
      </c>
      <c r="H53" s="45" t="s">
        <v>58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45"/>
      <c r="B54" s="84" t="s">
        <v>79</v>
      </c>
      <c r="C54" s="50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45"/>
      <c r="B55" s="45" t="s">
        <v>74</v>
      </c>
      <c r="C55" s="59">
        <v>0.2</v>
      </c>
      <c r="D55" s="45" t="s">
        <v>16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45"/>
      <c r="B56" s="45"/>
      <c r="C56" s="64"/>
      <c r="D56" s="45" t="s">
        <v>16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45"/>
      <c r="B58" s="84" t="s">
        <v>80</v>
      </c>
      <c r="C58" s="50"/>
      <c r="D58" s="50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45"/>
      <c r="B59" s="80" t="s">
        <v>81</v>
      </c>
      <c r="C59" s="45"/>
      <c r="D59" s="45"/>
      <c r="E59" s="59">
        <v>0.2</v>
      </c>
      <c r="F59" s="45" t="s">
        <v>16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45"/>
      <c r="B60" s="80" t="s">
        <v>82</v>
      </c>
      <c r="C60" s="45"/>
      <c r="D60" s="45"/>
      <c r="E60" s="59">
        <v>0.4</v>
      </c>
      <c r="F60" s="45" t="s">
        <v>16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45"/>
      <c r="B61" s="80" t="s">
        <v>83</v>
      </c>
      <c r="C61" s="50"/>
      <c r="D61" s="45"/>
      <c r="E61" s="59">
        <v>0.4</v>
      </c>
      <c r="F61" s="45" t="s">
        <v>16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45"/>
      <c r="B63" s="80" t="s">
        <v>133</v>
      </c>
      <c r="C63" s="50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45"/>
      <c r="B64" s="80" t="s">
        <v>134</v>
      </c>
      <c r="C64" s="50"/>
      <c r="D64" s="45"/>
      <c r="E64" s="83">
        <v>8.0</v>
      </c>
      <c r="F64" s="45" t="s">
        <v>56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5"/>
      <c r="B66" s="80" t="s">
        <v>135</v>
      </c>
      <c r="C66" s="50"/>
      <c r="D66" s="50"/>
      <c r="E66" s="50"/>
      <c r="F66" s="45"/>
      <c r="G66" s="83" t="s">
        <v>63</v>
      </c>
      <c r="H66" s="45" t="s">
        <v>58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45"/>
      <c r="B67" s="80" t="s">
        <v>136</v>
      </c>
      <c r="C67" s="50"/>
      <c r="D67" s="50"/>
      <c r="E67" s="45"/>
      <c r="F67" s="45"/>
      <c r="G67" s="83"/>
      <c r="H67" s="45" t="s">
        <v>16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5"/>
      <c r="B69" s="80" t="s">
        <v>137</v>
      </c>
      <c r="C69" s="50"/>
      <c r="D69" s="50"/>
      <c r="E69" s="45"/>
      <c r="F69" s="45"/>
      <c r="G69" s="83" t="s">
        <v>63</v>
      </c>
      <c r="H69" s="45" t="s">
        <v>58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45"/>
      <c r="B70" s="80" t="s">
        <v>138</v>
      </c>
      <c r="C70" s="50"/>
      <c r="D70" s="45"/>
      <c r="E70" s="45"/>
      <c r="F70" s="45"/>
      <c r="G70" s="83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45"/>
      <c r="B72" s="80" t="s">
        <v>139</v>
      </c>
      <c r="C72" s="50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45"/>
      <c r="B73" s="80" t="s">
        <v>84</v>
      </c>
      <c r="C73" s="50"/>
      <c r="D73" s="45"/>
      <c r="E73" s="59">
        <v>0.08</v>
      </c>
      <c r="F73" s="45" t="s">
        <v>16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/>
      <c r="B75" s="80" t="s">
        <v>85</v>
      </c>
      <c r="C75" s="50"/>
      <c r="D75" s="45"/>
      <c r="E75" s="87">
        <f>1-E73/C55</f>
        <v>0.6</v>
      </c>
      <c r="F75" s="45" t="s">
        <v>16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45"/>
      <c r="B76" s="80" t="s">
        <v>86</v>
      </c>
      <c r="C76" s="50"/>
      <c r="D76" s="45"/>
      <c r="E76" s="83" t="s">
        <v>18</v>
      </c>
      <c r="F76" s="45" t="s">
        <v>58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45"/>
      <c r="B77" s="80" t="s">
        <v>87</v>
      </c>
      <c r="C77" s="50"/>
      <c r="D77" s="45"/>
      <c r="E77" s="59"/>
      <c r="F77" s="45" t="s">
        <v>16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45"/>
      <c r="B79" s="80" t="s">
        <v>88</v>
      </c>
      <c r="C79" s="50"/>
      <c r="D79" s="45"/>
      <c r="E79" s="83" t="s">
        <v>18</v>
      </c>
      <c r="F79" s="45" t="s">
        <v>58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45"/>
      <c r="B80" s="80" t="s">
        <v>89</v>
      </c>
      <c r="C80" s="50"/>
      <c r="D80" s="45"/>
      <c r="E80" s="83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45"/>
      <c r="B82" s="81" t="s">
        <v>92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45"/>
      <c r="B83" s="88" t="s">
        <v>140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45"/>
      <c r="B84" s="80" t="s">
        <v>34</v>
      </c>
      <c r="C84" s="45"/>
      <c r="D84" s="89">
        <f>IF(E25="Yes",E26,D29+D28*D30)</f>
        <v>0.1305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45"/>
      <c r="B85" s="80" t="s">
        <v>93</v>
      </c>
      <c r="C85" s="45"/>
      <c r="D85" s="90">
        <f>D22</f>
        <v>1.43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45"/>
      <c r="B87" s="80" t="s">
        <v>141</v>
      </c>
      <c r="C87" s="50"/>
      <c r="D87" s="50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91"/>
      <c r="B88" s="91"/>
      <c r="C88" s="91"/>
      <c r="D88" s="91" t="s">
        <v>95</v>
      </c>
      <c r="E88" s="92" t="s">
        <v>96</v>
      </c>
      <c r="F88" s="92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>
      <c r="A89" s="45"/>
      <c r="B89" s="80" t="s">
        <v>97</v>
      </c>
      <c r="C89" s="45"/>
      <c r="D89" s="89">
        <f>(D22/E36)^(0.2)-1</f>
        <v>0.1857721351</v>
      </c>
      <c r="E89" s="89">
        <f t="shared" ref="E89:E91" si="2">E59</f>
        <v>0.2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45"/>
      <c r="B90" s="80" t="s">
        <v>98</v>
      </c>
      <c r="C90" s="45"/>
      <c r="D90" s="89">
        <f>E39</f>
        <v>0.17</v>
      </c>
      <c r="E90" s="89">
        <f t="shared" si="2"/>
        <v>0.4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45"/>
      <c r="B91" s="80" t="s">
        <v>99</v>
      </c>
      <c r="C91" s="45"/>
      <c r="D91" s="89">
        <f>IF(G49="No",IF(C47="NA",0,C48*C47),C52*C51)</f>
        <v>0</v>
      </c>
      <c r="E91" s="89">
        <f t="shared" si="2"/>
        <v>0.4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91"/>
      <c r="B92" s="84" t="s">
        <v>100</v>
      </c>
      <c r="C92" s="91"/>
      <c r="D92" s="93">
        <f>D89*E89+D90*E90+D91*E91</f>
        <v>0.105154427</v>
      </c>
      <c r="E92" s="92"/>
      <c r="F92" s="92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45"/>
      <c r="B94" s="80" t="s">
        <v>101</v>
      </c>
      <c r="C94" s="50"/>
      <c r="D94" s="45"/>
      <c r="E94" s="89">
        <f>1-C52</f>
        <v>0.3916083916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45"/>
      <c r="B95" s="45"/>
      <c r="C95" s="45"/>
      <c r="D95" s="45"/>
      <c r="E95" s="6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45"/>
      <c r="B96" s="84" t="s">
        <v>102</v>
      </c>
      <c r="C96" s="50"/>
      <c r="D96" s="50"/>
      <c r="E96" s="70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91"/>
      <c r="B97" s="92" t="s">
        <v>142</v>
      </c>
      <c r="C97" s="92">
        <f>IF(E33=0," ",1)</f>
        <v>1</v>
      </c>
      <c r="D97" s="92">
        <f>IF(E33=1," ",2)</f>
        <v>2</v>
      </c>
      <c r="E97" s="92">
        <f>IF(E33&lt;3," ",3)</f>
        <v>3</v>
      </c>
      <c r="F97" s="92">
        <f>IF(E33&lt;4," ",4)</f>
        <v>4</v>
      </c>
      <c r="G97" s="92">
        <f>IF($E$33&lt;5," ",5)</f>
        <v>5</v>
      </c>
      <c r="H97" s="92">
        <f>IF($E$33&lt;6," ",6)</f>
        <v>6</v>
      </c>
      <c r="I97" s="92">
        <f>IF($E$33&lt;7," ",7)</f>
        <v>7</v>
      </c>
      <c r="J97" s="92">
        <f>IF($E$33&lt;8," ",8)</f>
        <v>8</v>
      </c>
      <c r="K97" s="92">
        <f>IF($E$33&lt;9," ",9)</f>
        <v>9</v>
      </c>
      <c r="L97" s="92">
        <f>IF($E$33&lt;10," ",10)</f>
        <v>10</v>
      </c>
      <c r="M97" s="92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>
      <c r="A98" s="45"/>
      <c r="B98" s="94" t="s">
        <v>143</v>
      </c>
      <c r="C98" s="90">
        <f>IF(E33&lt;1," ",D85*(1+D92))</f>
        <v>1.580370831</v>
      </c>
      <c r="D98" s="90">
        <f>IF($E$33&lt;2," ",C98*(1+$D$92))</f>
        <v>1.74655382</v>
      </c>
      <c r="E98" s="90">
        <f>IF($E$33&lt;3," ",D98*(1+$D$92))</f>
        <v>1.930211686</v>
      </c>
      <c r="F98" s="90">
        <f>IF($E$33&lt;4," ",E98*(1+$D$92))</f>
        <v>2.13318199</v>
      </c>
      <c r="G98" s="90">
        <f>IF($E$33&lt;5," ",F98*(1+$D$92))</f>
        <v>2.35749552</v>
      </c>
      <c r="H98" s="90">
        <f>IF($E$33&lt;6," ",G98*(1+$D$92))</f>
        <v>2.60539661</v>
      </c>
      <c r="I98" s="90">
        <f>IF($E$33&lt;7," ",H98*(1+$D$92))</f>
        <v>2.879365598</v>
      </c>
      <c r="J98" s="90">
        <f>IF($E$33&lt;8," ",I98*(1+$D$92))</f>
        <v>3.182143638</v>
      </c>
      <c r="K98" s="90">
        <f>IF($E$33&lt;9," ",J98*(1+$D$92))</f>
        <v>3.516760129</v>
      </c>
      <c r="L98" s="90">
        <f>IF($E$33&lt;10," ",K98*(1+$D$92))</f>
        <v>3.886563025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45"/>
      <c r="B99" s="94" t="s">
        <v>103</v>
      </c>
      <c r="C99" s="90">
        <f>IF(E33&lt;1," ",D85*(1+D92)*E94)</f>
        <v>0.6188864791</v>
      </c>
      <c r="D99" s="90">
        <f t="shared" ref="D99:L99" si="3">IF($E$33&lt;D97," ",C99*(1+$D$92))</f>
        <v>0.6839651322</v>
      </c>
      <c r="E99" s="90">
        <f t="shared" si="3"/>
        <v>0.7558870938</v>
      </c>
      <c r="F99" s="90">
        <f t="shared" si="3"/>
        <v>0.8353719681</v>
      </c>
      <c r="G99" s="90">
        <f t="shared" si="3"/>
        <v>0.9232150287</v>
      </c>
      <c r="H99" s="90">
        <f t="shared" si="3"/>
        <v>1.020295176</v>
      </c>
      <c r="I99" s="90">
        <f t="shared" si="3"/>
        <v>1.127583731</v>
      </c>
      <c r="J99" s="90">
        <f t="shared" si="3"/>
        <v>1.246154152</v>
      </c>
      <c r="K99" s="90">
        <f t="shared" si="3"/>
        <v>1.377192778</v>
      </c>
      <c r="L99" s="90">
        <f t="shared" si="3"/>
        <v>1.522010695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45"/>
      <c r="B100" s="95" t="s">
        <v>144</v>
      </c>
      <c r="C100" s="90">
        <f t="shared" ref="C100:L100" si="4">IF($E$33&lt;C97," ",C99/(1+$D$84)^C97)</f>
        <v>0.5474449174</v>
      </c>
      <c r="D100" s="90">
        <f t="shared" si="4"/>
        <v>0.5351713171</v>
      </c>
      <c r="E100" s="90">
        <f t="shared" si="4"/>
        <v>0.5231728884</v>
      </c>
      <c r="F100" s="90">
        <f t="shared" si="4"/>
        <v>0.511443462</v>
      </c>
      <c r="G100" s="90">
        <f t="shared" si="4"/>
        <v>0.4999770068</v>
      </c>
      <c r="H100" s="90">
        <f t="shared" si="4"/>
        <v>0.4887676271</v>
      </c>
      <c r="I100" s="90">
        <f t="shared" si="4"/>
        <v>0.4778095594</v>
      </c>
      <c r="J100" s="90">
        <f t="shared" si="4"/>
        <v>0.4670971692</v>
      </c>
      <c r="K100" s="90">
        <f t="shared" si="4"/>
        <v>0.4566249486</v>
      </c>
      <c r="L100" s="90">
        <f t="shared" si="4"/>
        <v>0.446387513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45"/>
      <c r="B101" s="4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45"/>
      <c r="B102" s="80" t="s">
        <v>145</v>
      </c>
      <c r="C102" s="50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91"/>
      <c r="B103" s="91" t="s">
        <v>142</v>
      </c>
      <c r="C103" s="97">
        <f>IF(E64&lt;1," ",E33+1)</f>
        <v>11</v>
      </c>
      <c r="D103" s="97">
        <f>IF($E$64&lt;2," ",$E$33+2)</f>
        <v>12</v>
      </c>
      <c r="E103" s="97">
        <f>IF($E$64&lt;3," ",$E$33+3)</f>
        <v>13</v>
      </c>
      <c r="F103" s="97">
        <f>IF($E$64&lt;4," ",$E$33+4)</f>
        <v>14</v>
      </c>
      <c r="G103" s="97">
        <f>IF($E$64&lt;5," ",$E$33+5)</f>
        <v>15</v>
      </c>
      <c r="H103" s="97">
        <f>IF($E$64&lt;6," ",$E$33+6)</f>
        <v>16</v>
      </c>
      <c r="I103" s="97">
        <f>IF($E$64&lt;7," ",$E$33+7)</f>
        <v>17</v>
      </c>
      <c r="J103" s="97">
        <f>IF($E$64&lt;8," ",$E$33+8)</f>
        <v>18</v>
      </c>
      <c r="K103" s="92" t="str">
        <f>IF($E$64&lt;9," ",$E$33+9)</f>
        <v> </v>
      </c>
      <c r="L103" s="92" t="str">
        <f>IF($E$64&lt;10," ",$E$33+10)</f>
        <v> </v>
      </c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>
      <c r="A104" s="45"/>
      <c r="B104" s="95" t="s">
        <v>95</v>
      </c>
      <c r="C104" s="89">
        <f>IF($E$64&lt;1, ,$D$92-($D$92-$E$113)/$E$64)</f>
        <v>0.1020101236</v>
      </c>
      <c r="D104" s="89">
        <f>IF($E$64&lt;2, ,C104-($D$92-$E$113)/$E$64)</f>
        <v>0.09886582027</v>
      </c>
      <c r="E104" s="89">
        <f>IF($E$64&lt;3, ,D104-($D$92-$E$113)/$E$64)</f>
        <v>0.09572151689</v>
      </c>
      <c r="F104" s="89">
        <f>IF($E$64&lt;4, ,E104-($D$92-$E$113)/$E$64)</f>
        <v>0.09257721351</v>
      </c>
      <c r="G104" s="89">
        <f>IF($E$64&lt;5, ,F104-($D$92-$E$113)/$E$64)</f>
        <v>0.08943291013</v>
      </c>
      <c r="H104" s="89">
        <f>IF($E$64&lt;6, ,G104-($D$92-$E$113)/$E$64)</f>
        <v>0.08628860676</v>
      </c>
      <c r="I104" s="89">
        <f>IF($E$64&lt;7, ,H104-($D$92-$E$113)/$E$64)</f>
        <v>0.08314430338</v>
      </c>
      <c r="J104" s="89">
        <f>IF($E$64&lt;8, ,I104-($D$92-$E$113)/$E$64)</f>
        <v>0.08</v>
      </c>
      <c r="K104" s="64" t="str">
        <f>IF($E$64&lt;9, ,J104-($D$92-$E$113)/$E$64)</f>
        <v/>
      </c>
      <c r="L104" s="64" t="str">
        <f>IF($E$64&lt;10, ,K104-($D$92-$E$113)/$E$64)</f>
        <v/>
      </c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45"/>
      <c r="B105" s="95" t="s">
        <v>146</v>
      </c>
      <c r="C105" s="89">
        <f>IF($E$64&lt;(C103-$E$33)," ",(IF($G$66="Yes",$E$94+($E$114-$E$94)/$E$64,$G$67)))</f>
        <v>0.4176573427</v>
      </c>
      <c r="D105" s="89">
        <f>IF($E$64&lt;2," ",(IF($G$66="Yes",C105+($E$114-$E$94)/$E$64,$G$67)))</f>
        <v>0.4437062937</v>
      </c>
      <c r="E105" s="89">
        <f>IF($E$64&lt;3," ",(IF($G$66="Yes",D105+($E$114-$E$94)/$E$64,$G$67)))</f>
        <v>0.4697552448</v>
      </c>
      <c r="F105" s="89">
        <f>IF($E$64&lt;4," ",(IF($G$66="Yes",E105+($E$114-$E$94)/$E$64,$G$67)))</f>
        <v>0.4958041958</v>
      </c>
      <c r="G105" s="89">
        <f>IF($E$64&lt;5," ",(IF($G$66="Yes",F105+($E$114-$E$94)/$E$64,$G$67)))</f>
        <v>0.5218531469</v>
      </c>
      <c r="H105" s="89">
        <f>IF($E$64&lt;6," ",(IF($G$66="Yes",G105+($E$114-$E$94)/$E$64,$G$67)))</f>
        <v>0.5479020979</v>
      </c>
      <c r="I105" s="89">
        <f>IF($E$64&lt;7," ",(IF($G$66="Yes",H105+($E$114-$E$94)/$E$64,$G$67)))</f>
        <v>0.573951049</v>
      </c>
      <c r="J105" s="89">
        <f>IF($E$64&lt;8," ",(IF($G$66="Yes",I105+($E$114-$E$94)/$E$64,$G$67)))</f>
        <v>0.6</v>
      </c>
      <c r="K105" s="64" t="str">
        <f>IF($E$64&lt;9," ",(IF($G$66="Yes",J105+($E$114-$E$94)/$E$64,$G$67)))</f>
        <v> </v>
      </c>
      <c r="L105" s="64" t="str">
        <f>IF($E$64&lt;10," ",(IF($G$66="Yes",K105+($E$114-$E$94)/$E$64,$G$67)))</f>
        <v> </v>
      </c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45"/>
      <c r="B106" s="95" t="s">
        <v>143</v>
      </c>
      <c r="C106" s="90">
        <f>IF($E$64&lt;1," ",$D$85*(1+$D$92)^$E$33*(1+$C$104))</f>
        <v>4.2830318</v>
      </c>
      <c r="D106" s="90">
        <f>IF($E$64&lt;2," ",C106*(1+D104))</f>
        <v>4.706477252</v>
      </c>
      <c r="E106" s="90">
        <f>IF($E$64&lt;3," ",D106*(1+E104))</f>
        <v>5.156988394</v>
      </c>
      <c r="F106" s="90">
        <f>IF($E$64&lt;4," ",E106*(1+F104))</f>
        <v>5.634408009</v>
      </c>
      <c r="G106" s="90">
        <f>IF($E$64&lt;5," ",F106*(1+G104))</f>
        <v>6.138309514</v>
      </c>
      <c r="H106" s="90">
        <f>IF($E$64&lt;6," ",G106*(1+H104))</f>
        <v>6.66797569</v>
      </c>
      <c r="I106" s="90">
        <f>IF($E$64&lt;7," ",H106*(1+I104))</f>
        <v>7.222379884</v>
      </c>
      <c r="J106" s="90">
        <f>IF($E$64&lt;8," ",I106*(1+J104))</f>
        <v>7.800170275</v>
      </c>
      <c r="K106" s="96" t="str">
        <f>IF($E$64&lt;9," ",J106*(1+K104))</f>
        <v> </v>
      </c>
      <c r="L106" s="96" t="str">
        <f>IF($E$64&lt;10," ",K106*(1+L104))</f>
        <v> </v>
      </c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45"/>
      <c r="B107" s="95" t="s">
        <v>103</v>
      </c>
      <c r="C107" s="90">
        <f>IF($E$64&lt;1," ",C106*C105)</f>
        <v>1.78883968</v>
      </c>
      <c r="D107" s="90">
        <f>IF($E$64&lt;2," ",D106*D105)</f>
        <v>2.088293578</v>
      </c>
      <c r="E107" s="90">
        <f>IF($E$64&lt;3," ",E106*E105)</f>
        <v>2.422522345</v>
      </c>
      <c r="F107" s="90">
        <f>IF($E$64&lt;4," ",F106*F105)</f>
        <v>2.793563132</v>
      </c>
      <c r="G107" s="90">
        <f>IF($E$64&lt;5," ",G106*G105)</f>
        <v>3.203296136</v>
      </c>
      <c r="H107" s="90">
        <f>IF($E$64&lt;6," ",H106*H105)</f>
        <v>3.653397869</v>
      </c>
      <c r="I107" s="90">
        <f>IF($E$64&lt;7," ",I106*I105)</f>
        <v>4.14529251</v>
      </c>
      <c r="J107" s="90">
        <f>IF($E$64&lt;8," ",J106*J105)</f>
        <v>4.680102165</v>
      </c>
      <c r="K107" s="96" t="str">
        <f>IF($E$64&lt;9," ",K106*K105)</f>
        <v> </v>
      </c>
      <c r="L107" s="96" t="str">
        <f>IF($E$64&lt;10," ",L106*L105)</f>
        <v> </v>
      </c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45"/>
      <c r="B108" s="95" t="s">
        <v>147</v>
      </c>
      <c r="C108" s="94">
        <f>IF($E$64&lt;1," ",(IF($G$69="Yes",$D$28-($D$28-($E$115-$D$29)/$D$30)/$E$64,$G$70)))</f>
        <v>1.1</v>
      </c>
      <c r="D108" s="94">
        <f>IF($E$64&lt;2," ",(IF($G$69="Yes",C108-($D$28-($E$115-$D$29)/$D$30)/$E$64,$G$70)))</f>
        <v>1.1</v>
      </c>
      <c r="E108" s="94">
        <f>IF($E$64&lt;3," ",(IF($G$69="Yes",D108-($D$28-($E$115-$D$29)/$D$30)/$E$64,$G$70)))</f>
        <v>1.1</v>
      </c>
      <c r="F108" s="94">
        <f>IF($E$64&lt;4," ",(IF($G$69="Yes",E108-($D$28-($E$115-$D$29)/$D$30)/$E$64,$G$70)))</f>
        <v>1.1</v>
      </c>
      <c r="G108" s="94">
        <f>IF($E$64&lt;5," ",(IF($G$69="Yes",F108-($D$28-($E$115-$D$29)/$D$30)/$E$64,$G$70)))</f>
        <v>1.1</v>
      </c>
      <c r="H108" s="94">
        <f>IF($E$64&lt;6," ",(IF($G$69="Yes",G108-($D$28-($E$115-$D$29)/$D$30)/$E$64,$G$70)))</f>
        <v>1.1</v>
      </c>
      <c r="I108" s="94">
        <f>IF($E$64&lt;7," ",(IF($G$69="Yes",H108-($D$28-($E$115-$D$29)/$D$30)/$E$64,$G$70)))</f>
        <v>1.1</v>
      </c>
      <c r="J108" s="94">
        <f>IF($E$64&lt;8," ",(IF($G$69="Yes",I108-($D$28-($E$115-$D$29)/$D$30)/$E$64,$G$70)))</f>
        <v>1.1</v>
      </c>
      <c r="K108" s="45" t="str">
        <f>IF($E$64&lt;9," ",(IF($G$69="Yes",J108-($D$28-($E$115-$D$29)/$D$30)/$E$64,$G$70)))</f>
        <v> </v>
      </c>
      <c r="L108" s="45" t="str">
        <f>IF($E$64&lt;10," ",(IF($G$69="Yes",K108-($D$28-($E$115-$D$29)/$D$30)/$E$64,$G$70)))</f>
        <v> 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45"/>
      <c r="B109" s="95" t="s">
        <v>148</v>
      </c>
      <c r="C109" s="89">
        <f>IF($E$64&lt;1,0,$D$29+$D$30*C108)</f>
        <v>0.1305</v>
      </c>
      <c r="D109" s="89">
        <f>IF($E$64&lt;2,0,$D$29+$D$30*D108)</f>
        <v>0.1305</v>
      </c>
      <c r="E109" s="89">
        <f>IF($E$64&lt;3,0,$D$29+$D$30*E108)</f>
        <v>0.1305</v>
      </c>
      <c r="F109" s="89">
        <f>IF($E$64&lt;4,0,$D$29+$D$30*F108)</f>
        <v>0.1305</v>
      </c>
      <c r="G109" s="89">
        <f>IF($E$64&lt;5,0,$D$29+$D$30*G108)</f>
        <v>0.1305</v>
      </c>
      <c r="H109" s="89">
        <f>IF($E$64&lt;6,0,$D$29+$D$30*H108)</f>
        <v>0.1305</v>
      </c>
      <c r="I109" s="89">
        <f>IF($E$64&lt;7,0,$D$29+$D$30*I108)</f>
        <v>0.1305</v>
      </c>
      <c r="J109" s="89">
        <f>IF($E$64&lt;8,0,$D$29+$D$30*J108)</f>
        <v>0.1305</v>
      </c>
      <c r="K109" s="64">
        <f>IF($E$64&lt;9,0,$D$29+$D$30*K108)</f>
        <v>0</v>
      </c>
      <c r="L109" s="64">
        <f>IF($E$64&lt;10,0,$D$29+$D$30*L108)</f>
        <v>0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45"/>
      <c r="B110" s="95" t="s">
        <v>144</v>
      </c>
      <c r="C110" s="90">
        <f>IF($E$64&lt;1," ",C107/(((1+$D$84)^$E$33)*(1+C109)))</f>
        <v>0.4640824939</v>
      </c>
      <c r="D110" s="90">
        <f>IF($E$64&lt;2," ",D107/(((1+$D$84)^$E$33)*(1+C109)*(1+D109)))</f>
        <v>0.4792308336</v>
      </c>
      <c r="E110" s="90">
        <f>IF($E$64&lt;3," ",E107/(((1+$D$84)^$E$33)*(1+C109)*(1+D109)*(1+E109)))</f>
        <v>0.4917568574</v>
      </c>
      <c r="F110" s="90">
        <f>IF($E$64&lt;4," ",F107/(((1+$D$84)^$E$33)*(1+C109)*(1+D109)*(1+E109)*(1+F109)))</f>
        <v>0.5016150485</v>
      </c>
      <c r="G110" s="90">
        <f>IF($E$64&lt;5," ",G107/(((1+$D$84)^$E$33)*(1+C109)*(1+D109)*(1+E109)*(1+F109)*(1+G109)))</f>
        <v>0.5087900267</v>
      </c>
      <c r="H110" s="90">
        <f>IF($E$64&lt;6," ",H107/(((1+$D$84)^$E$33)*(1+C109)*(1+D109)*(1+E109)*(1+F109)*(1+G109)*(1+H109)))</f>
        <v>0.5132960288</v>
      </c>
      <c r="I110" s="90">
        <f>IF($E$64&lt;7," ",I107/(((1+$D$84)^$E$33)*(1+C109)*(1+D109)*(1+E109)*(1+F109)*(1+G109)*(1+H109)*(1+I109)))</f>
        <v>0.5151759115</v>
      </c>
      <c r="J110" s="90">
        <f>IF($E$64&lt;8," ",J107/(((1+$D$84)^$E$33)*(1+C109)*(1+D109)*(1+E109)*(1+F109)*(1+G109)*(1+H109)*(1+I109)*(1+J109)))</f>
        <v>0.5144997089</v>
      </c>
      <c r="K110" s="96" t="str">
        <f>IF($E$64&lt;9," ",K107/(((1+$D$84)^$E$33)*(1+C109)*(1+D109)*(1+E109)*(1+F109)*(1+G109)*(1+H109)*(1+I109)*(1+J109)*(1+K109)))</f>
        <v> </v>
      </c>
      <c r="L110" s="96" t="str">
        <f>IF($E$64&lt;10," ",L107/(((1+$D$84)^$E$33)*(1+C109)*(1+D109)*(1+E109)*(1+F109)*(1+G109)*(1+H109)*(1+I109)*(1+J109)*(1+K109)*(1+L109)))</f>
        <v> 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45"/>
      <c r="B112" s="80" t="s">
        <v>149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45"/>
      <c r="B113" s="80" t="s">
        <v>104</v>
      </c>
      <c r="C113" s="45"/>
      <c r="D113" s="45"/>
      <c r="E113" s="89">
        <f>E73</f>
        <v>0.08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45"/>
      <c r="B114" s="80" t="s">
        <v>105</v>
      </c>
      <c r="C114" s="45"/>
      <c r="D114" s="45"/>
      <c r="E114" s="89">
        <f>IF(E76="No",E75,E77)</f>
        <v>0.6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5"/>
      <c r="B115" s="80" t="s">
        <v>106</v>
      </c>
      <c r="C115" s="50"/>
      <c r="D115" s="45"/>
      <c r="E115" s="89">
        <f>IF(E79="No",D29+D28*D30,D29+E80*D30)</f>
        <v>0.1305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45"/>
      <c r="B116" s="80" t="s">
        <v>107</v>
      </c>
      <c r="C116" s="50"/>
      <c r="D116" s="45"/>
      <c r="E116" s="90">
        <f>D85*(1+D92)^E33*(1+C104)*(1+D104)*(1+E104)*(1+F104)*(1+G104)*(1+H104)*(1+I104)*(1+J104)*(1+K104)*(1+L104)*(1+E113)*E114/(E115-E113)</f>
        <v>100.0893136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45"/>
      <c r="B118" s="80" t="s">
        <v>108</v>
      </c>
      <c r="C118" s="50"/>
      <c r="D118" s="50"/>
      <c r="E118" s="81"/>
      <c r="F118" s="98">
        <f>SUM(C100:L100)</f>
        <v>4.953896409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45"/>
      <c r="B119" s="80" t="s">
        <v>150</v>
      </c>
      <c r="C119" s="50"/>
      <c r="D119" s="50"/>
      <c r="E119" s="81"/>
      <c r="F119" s="98">
        <f>SUM(C110:L110)</f>
        <v>3.988446909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45"/>
      <c r="B120" s="80" t="s">
        <v>109</v>
      </c>
      <c r="C120" s="50"/>
      <c r="D120" s="45"/>
      <c r="E120" s="81"/>
      <c r="F120" s="98">
        <f>E116/((1+D84)^E33*(1+C109)*(1+D109)*(1+E109)*(1+F109)*(1+G109)*(1+H109)*(1+I109)*(1+J109)*(1+K109)*(1+L109))</f>
        <v>11.00316209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45"/>
      <c r="B121" s="80" t="s">
        <v>110</v>
      </c>
      <c r="C121" s="45"/>
      <c r="D121" s="45"/>
      <c r="E121" s="81"/>
      <c r="F121" s="98">
        <f>SUM(F118:F120)</f>
        <v>19.94550541</v>
      </c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3">
    <mergeCell ref="B1:I1"/>
    <mergeCell ref="B21:I21"/>
    <mergeCell ref="B82:I82"/>
  </mergeCells>
  <drawing r:id="rId1"/>
</worksheet>
</file>