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CF" sheetId="1" r:id="rId4"/>
  </sheets>
  <definedNames/>
  <calcPr/>
</workbook>
</file>

<file path=xl/sharedStrings.xml><?xml version="1.0" encoding="utf-8"?>
<sst xmlns="http://schemas.openxmlformats.org/spreadsheetml/2006/main" count="57" uniqueCount="43">
  <si>
    <t>Discounted Cash Flow (DCF) Analysis</t>
  </si>
  <si>
    <t>($ in millions, except per share data)</t>
  </si>
  <si>
    <t>3 Quarters</t>
  </si>
  <si>
    <t>Today</t>
  </si>
  <si>
    <t>Ending</t>
  </si>
  <si>
    <t>Projected Fiscal Years Ending September 30,</t>
  </si>
  <si>
    <t>Fractional years per period</t>
  </si>
  <si>
    <t>Cumulative fractional years from close</t>
  </si>
  <si>
    <t>Assumptions</t>
  </si>
  <si>
    <t>Net debt</t>
  </si>
  <si>
    <t>Fully diluted shares outstanding</t>
  </si>
  <si>
    <t>Tax rate</t>
  </si>
  <si>
    <t>Unlevered Free Cash Flow (UFCF)</t>
  </si>
  <si>
    <t>EBITDA</t>
  </si>
  <si>
    <t>EBITA</t>
  </si>
  <si>
    <t>( – ) Taxes</t>
  </si>
  <si>
    <t>Unlevered net income</t>
  </si>
  <si>
    <t>( + ) Depreciation</t>
  </si>
  <si>
    <t>( – ) Capital expenditures</t>
  </si>
  <si>
    <t>( – ) Change in working capital</t>
  </si>
  <si>
    <t>( – ) Change in deferred taxes</t>
  </si>
  <si>
    <t>Unlevered free cash flow</t>
  </si>
  <si>
    <t>DCF Valuation – XNPV Method</t>
  </si>
  <si>
    <t>Total cash flow – EBITDA multiple method</t>
  </si>
  <si>
    <t>DCF valuation (XNPV) – EBITDA multiple method</t>
  </si>
  <si>
    <t>Check that XNPV yields same result as formulas below</t>
  </si>
  <si>
    <t>Total cash flow – perpetuity growth method</t>
  </si>
  <si>
    <t>DCF valuation (XNPV) – perpetuity growth method</t>
  </si>
  <si>
    <t>DCF Sensitivity – EBITDA Multiple Method</t>
  </si>
  <si>
    <t>NOTE:  Enterprise value can be computed more simply using TABLEs sensitizing the XNPV result to the WACC and terminal multiple, but TABLEs were purposefully avoided to illustrate how this sensitivity</t>
  </si>
  <si>
    <t>can be performed without TABLEs, which are slow to calculate.</t>
  </si>
  <si>
    <t>Enterprise Value</t>
  </si>
  <si>
    <t>Equity Value</t>
  </si>
  <si>
    <t>Terminal EBITDA Multiple</t>
  </si>
  <si>
    <t>Discount</t>
  </si>
  <si>
    <t>Rate</t>
  </si>
  <si>
    <t>(WACC)</t>
  </si>
  <si>
    <t>Implied Perpetuity Growth Rate</t>
  </si>
  <si>
    <t>Value Per Share</t>
  </si>
  <si>
    <t>DCF Sensitivity – Perpetuity Growth Method</t>
  </si>
  <si>
    <t>NOTE:  Enterprise value can be computed more simply using TABLEs sensitizing the XNPV result to the WACC and terminal growth rate, but TABLEs were purposefully avoided to illustrate how this sensitivity</t>
  </si>
  <si>
    <t>Terminal Perpetuity Growth Rate</t>
  </si>
  <si>
    <t>Implied Terminal EBITDA Multiple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</si>
</sst>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5">
    <numFmt numFmtId="164" formatCode="0&quot; mos.&quot;"/>
    <numFmt numFmtId="165" formatCode="&quot;Year &quot;0"/>
    <numFmt numFmtId="166" formatCode="m/d/yy"/>
    <numFmt numFmtId="167" formatCode="yyyy"/>
    <numFmt numFmtId="168" formatCode="_(#,##0.00_)_%;_(\(#,##0.00\)_%;_(&quot;–&quot;_)_%;@_(_%"/>
    <numFmt numFmtId="169" formatCode="_(&quot;$&quot;#,##0.0_)_%;_(\(&quot;$&quot;#,##0.0\)_%;_(&quot;–&quot;_)_%;@_(_%"/>
    <numFmt numFmtId="170" formatCode="_(#,##0.000_)_%;_(\(#,##0.000\)_%;_(&quot;–&quot;_)_%;@_(_%"/>
    <numFmt numFmtId="171" formatCode="_(0.0%_);\(0.0%\);_(&quot;–&quot;_)_%;@_(_%"/>
    <numFmt numFmtId="172" formatCode="0.0%_);\(0.0%\);0.0%_);@_)"/>
    <numFmt numFmtId="173" formatCode="_(#,##0.0_)_%;_(\(#,##0.0\)_%;_(&quot;–&quot;_)_%;@_(_%"/>
    <numFmt numFmtId="174" formatCode="&quot;$&quot;#,##0.00_);\(&quot;$&quot;#,##0.00\)"/>
    <numFmt numFmtId="175" formatCode="&quot;$&quot;#,##0.00_);[Red]\(&quot;$&quot;#,##0.00\)"/>
    <numFmt numFmtId="176" formatCode="_(0.0\x_)_);_(\(0.0\x\);_(&quot;–&quot;_)_%;@_(_%"/>
    <numFmt numFmtId="177" formatCode="_(&quot;$&quot;#,##0.00_)_%;_(\(&quot;$&quot;#,##0.00\)_%;_(&quot;–&quot;_)_%;@_(_%"/>
    <numFmt numFmtId="178" formatCode="_(0.0\x_)_)_';_(\(0.0\x\)_'_';_(&quot;–&quot;_)_%;@_(_%"/>
  </numFmts>
  <fonts count="17">
    <font>
      <sz val="10.0"/>
      <color rgb="FF000000"/>
      <name val="Arial"/>
    </font>
    <font>
      <sz val="10.0"/>
      <color theme="1"/>
      <name val="Calibri"/>
    </font>
    <font>
      <b/>
      <sz val="16.0"/>
      <color rgb="FF000000"/>
      <name val="Arial"/>
    </font>
    <font>
      <b/>
      <sz val="18.0"/>
      <color rgb="FF000000"/>
      <name val="Arial"/>
    </font>
    <font>
      <sz val="8.0"/>
      <color theme="1"/>
      <name val="Calibri"/>
    </font>
    <font>
      <b/>
      <sz val="10.0"/>
      <color rgb="FF1F497D"/>
      <name val="Calibri"/>
    </font>
    <font/>
    <font>
      <sz val="10.0"/>
      <color rgb="FF0000FF"/>
      <name val="Calibri"/>
    </font>
    <font>
      <b/>
      <sz val="10.0"/>
      <color theme="1"/>
      <name val="Calibri"/>
    </font>
    <font>
      <b/>
      <u/>
      <sz val="10.0"/>
      <color theme="1"/>
      <name val="Calibri"/>
    </font>
    <font>
      <i/>
      <sz val="10.0"/>
      <color rgb="FF0000FF"/>
      <name val="Calibri"/>
    </font>
    <font>
      <i/>
      <sz val="10.0"/>
      <color rgb="FF000000"/>
      <name val="Calibri"/>
    </font>
    <font>
      <b/>
      <sz val="10.0"/>
      <color rgb="FF0000FF"/>
      <name val="Calibri"/>
    </font>
    <font>
      <b/>
      <sz val="10.0"/>
      <color rgb="FF000000"/>
      <name val="Calibri"/>
    </font>
    <font>
      <i/>
      <sz val="10.0"/>
      <color rgb="FFC00000"/>
      <name val="Calibri"/>
    </font>
    <font>
      <sz val="10.0"/>
      <color rgb="FF000000"/>
      <name val="Calibri"/>
    </font>
    <font>
      <i/>
      <sz val="10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DDE4E9"/>
        <bgColor rgb="FFDDE4E9"/>
      </patternFill>
    </fill>
    <fill>
      <patternFill patternType="solid">
        <fgColor rgb="FFECEBE5"/>
        <bgColor rgb="FFECEBE5"/>
      </patternFill>
    </fill>
  </fills>
  <borders count="20">
    <border/>
    <border>
      <top style="medium">
        <color rgb="FF000000"/>
      </top>
      <bottom style="thin">
        <color rgb="FF000000"/>
      </bottom>
    </border>
    <border>
      <bottom style="thin">
        <color theme="4"/>
      </bottom>
    </border>
    <border>
      <bottom style="medium">
        <color theme="4"/>
      </bottom>
    </border>
    <border>
      <left style="thin">
        <color rgb="FFB2C2D1"/>
      </left>
      <right/>
      <top style="thin">
        <color rgb="FFB2C2D1"/>
      </top>
      <bottom style="thin">
        <color rgb="FFB2C2D1"/>
      </bottom>
    </border>
    <border>
      <left/>
      <right/>
      <top style="thin">
        <color rgb="FFB2C2D1"/>
      </top>
      <bottom style="thin">
        <color rgb="FFB2C2D1"/>
      </bottom>
    </border>
    <border>
      <left/>
      <right style="thin">
        <color rgb="FFB2C2D1"/>
      </right>
      <top style="thin">
        <color rgb="FFB2C2D1"/>
      </top>
      <bottom style="thin">
        <color rgb="FFB2C2D1"/>
      </bottom>
    </border>
    <border>
      <top style="hair">
        <color rgb="FF000000"/>
      </top>
    </border>
    <border>
      <left/>
      <right/>
      <top style="thin">
        <color rgb="FF000000"/>
      </top>
      <bottom/>
    </border>
    <border>
      <left/>
      <right/>
      <top/>
      <bottom/>
    </border>
    <border>
      <bottom style="thin">
        <color rgb="FF000000"/>
      </bottom>
    </border>
    <border>
      <left style="hair">
        <color rgb="FF000000"/>
      </left>
      <right/>
      <top style="hair">
        <color rgb="FF000000"/>
      </top>
      <bottom/>
    </border>
    <border>
      <left/>
      <right/>
      <top style="hair">
        <color rgb="FF000000"/>
      </top>
      <bottom/>
    </border>
    <border>
      <left/>
      <right style="hair">
        <color rgb="FF000000"/>
      </right>
      <top style="hair">
        <color rgb="FF000000"/>
      </top>
      <bottom/>
    </border>
    <border>
      <left style="hair">
        <color rgb="FF000000"/>
      </left>
      <right/>
      <top/>
      <bottom/>
    </border>
    <border>
      <left/>
      <right style="hair">
        <color rgb="FF000000"/>
      </right>
      <top/>
      <bottom/>
    </border>
    <border>
      <left style="hair">
        <color rgb="FF000000"/>
      </left>
      <right/>
      <top/>
      <bottom style="hair">
        <color rgb="FF000000"/>
      </bottom>
    </border>
    <border>
      <left/>
      <right/>
      <top/>
      <bottom style="hair">
        <color rgb="FF000000"/>
      </bottom>
    </border>
    <border>
      <left/>
      <right style="hair">
        <color rgb="FF000000"/>
      </right>
      <top/>
      <bottom style="hair">
        <color rgb="FF000000"/>
      </bottom>
    </border>
    <border>
      <bottom style="medium">
        <color rgb="FF000000"/>
      </bottom>
    </border>
  </borders>
  <cellStyleXfs count="1">
    <xf borderId="0" fillId="0" fontId="0" numFmtId="0" applyAlignment="1" applyFont="1"/>
  </cellStyleXfs>
  <cellXfs count="9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1" numFmtId="0" xfId="0" applyAlignment="1" applyFont="1">
      <alignment vertical="center"/>
    </xf>
    <xf borderId="1" fillId="0" fontId="3" numFmtId="0" xfId="0" applyAlignment="1" applyBorder="1" applyFont="1">
      <alignment vertical="center"/>
    </xf>
    <xf borderId="1" fillId="0" fontId="1" numFmtId="0" xfId="0" applyAlignment="1" applyBorder="1" applyFont="1">
      <alignment vertical="center"/>
    </xf>
    <xf borderId="0" fillId="0" fontId="4" numFmtId="0" xfId="0" applyFont="1"/>
    <xf borderId="0" fillId="0" fontId="5" numFmtId="0" xfId="0" applyFont="1"/>
    <xf borderId="0" fillId="0" fontId="5" numFmtId="164" xfId="0" applyAlignment="1" applyFont="1" applyNumberFormat="1">
      <alignment horizontal="center" vertical="center"/>
    </xf>
    <xf borderId="0" fillId="0" fontId="5" numFmtId="165" xfId="0" applyAlignment="1" applyFont="1" applyNumberFormat="1">
      <alignment horizontal="center" vertical="center"/>
    </xf>
    <xf borderId="2" fillId="0" fontId="5" numFmtId="0" xfId="0" applyAlignment="1" applyBorder="1" applyFont="1">
      <alignment horizontal="center" vertical="center"/>
    </xf>
    <xf borderId="2" fillId="0" fontId="6" numFmtId="0" xfId="0" applyBorder="1" applyFont="1"/>
    <xf borderId="3" fillId="0" fontId="5" numFmtId="166" xfId="0" applyAlignment="1" applyBorder="1" applyFont="1" applyNumberFormat="1">
      <alignment horizontal="center" vertical="center"/>
    </xf>
    <xf borderId="3" fillId="0" fontId="5" numFmtId="167" xfId="0" applyAlignment="1" applyBorder="1" applyFont="1" applyNumberFormat="1">
      <alignment horizontal="center"/>
    </xf>
    <xf borderId="0" fillId="0" fontId="7" numFmtId="168" xfId="0" applyAlignment="1" applyFont="1" applyNumberFormat="1">
      <alignment vertical="center"/>
    </xf>
    <xf borderId="0" fillId="0" fontId="1" numFmtId="168" xfId="0" applyAlignment="1" applyFont="1" applyNumberFormat="1">
      <alignment vertical="center"/>
    </xf>
    <xf borderId="4" fillId="2" fontId="8" numFmtId="0" xfId="0" applyAlignment="1" applyBorder="1" applyFill="1" applyFont="1">
      <alignment vertical="center"/>
    </xf>
    <xf borderId="5" fillId="2" fontId="1" numFmtId="0" xfId="0" applyAlignment="1" applyBorder="1" applyFont="1">
      <alignment vertical="center"/>
    </xf>
    <xf borderId="6" fillId="2" fontId="1" numFmtId="0" xfId="0" applyAlignment="1" applyBorder="1" applyFont="1">
      <alignment vertical="center"/>
    </xf>
    <xf borderId="0" fillId="0" fontId="9" numFmtId="0" xfId="0" applyAlignment="1" applyFont="1">
      <alignment vertical="center"/>
    </xf>
    <xf borderId="0" fillId="0" fontId="7" numFmtId="169" xfId="0" applyAlignment="1" applyFont="1" applyNumberFormat="1">
      <alignment vertical="center"/>
    </xf>
    <xf borderId="0" fillId="0" fontId="7" numFmtId="170" xfId="0" applyAlignment="1" applyFont="1" applyNumberFormat="1">
      <alignment vertical="center"/>
    </xf>
    <xf borderId="0" fillId="0" fontId="10" numFmtId="171" xfId="0" applyAlignment="1" applyFont="1" applyNumberFormat="1">
      <alignment vertical="center"/>
    </xf>
    <xf borderId="0" fillId="0" fontId="11" numFmtId="172" xfId="0" applyAlignment="1" applyFont="1" applyNumberFormat="1">
      <alignment vertical="center"/>
    </xf>
    <xf borderId="0" fillId="0" fontId="1" numFmtId="169" xfId="0" applyAlignment="1" applyFont="1" applyNumberFormat="1">
      <alignment vertical="center"/>
    </xf>
    <xf borderId="0" fillId="0" fontId="1" numFmtId="173" xfId="0" applyAlignment="1" applyFont="1" applyNumberFormat="1">
      <alignment vertical="center"/>
    </xf>
    <xf borderId="7" fillId="0" fontId="1" numFmtId="0" xfId="0" applyAlignment="1" applyBorder="1" applyFont="1">
      <alignment vertical="center"/>
    </xf>
    <xf borderId="7" fillId="0" fontId="11" numFmtId="172" xfId="0" applyAlignment="1" applyBorder="1" applyFont="1" applyNumberFormat="1">
      <alignment vertical="center"/>
    </xf>
    <xf borderId="7" fillId="0" fontId="1" numFmtId="173" xfId="0" applyAlignment="1" applyBorder="1" applyFont="1" applyNumberFormat="1">
      <alignment vertical="center"/>
    </xf>
    <xf borderId="0" fillId="0" fontId="7" numFmtId="173" xfId="0" applyAlignment="1" applyFont="1" applyNumberFormat="1">
      <alignment vertical="center"/>
    </xf>
    <xf borderId="8" fillId="3" fontId="8" numFmtId="0" xfId="0" applyAlignment="1" applyBorder="1" applyFill="1" applyFont="1">
      <alignment vertical="center"/>
    </xf>
    <xf borderId="8" fillId="3" fontId="1" numFmtId="0" xfId="0" applyAlignment="1" applyBorder="1" applyFont="1">
      <alignment vertical="center"/>
    </xf>
    <xf borderId="8" fillId="3" fontId="12" numFmtId="169" xfId="0" applyAlignment="1" applyBorder="1" applyFont="1" applyNumberFormat="1">
      <alignment vertical="center"/>
    </xf>
    <xf borderId="8" fillId="3" fontId="8" numFmtId="169" xfId="0" applyAlignment="1" applyBorder="1" applyFont="1" applyNumberFormat="1">
      <alignment vertical="center"/>
    </xf>
    <xf borderId="7" fillId="0" fontId="1" numFmtId="169" xfId="0" applyAlignment="1" applyBorder="1" applyFont="1" applyNumberFormat="1">
      <alignment vertical="center"/>
    </xf>
    <xf borderId="0" fillId="0" fontId="8" numFmtId="0" xfId="0" applyAlignment="1" applyFont="1">
      <alignment vertical="center"/>
    </xf>
    <xf borderId="9" fillId="3" fontId="8" numFmtId="0" xfId="0" applyAlignment="1" applyBorder="1" applyFont="1">
      <alignment vertical="center"/>
    </xf>
    <xf borderId="9" fillId="3" fontId="13" numFmtId="169" xfId="0" applyAlignment="1" applyBorder="1" applyFont="1" applyNumberFormat="1">
      <alignment horizontal="right" vertical="center"/>
    </xf>
    <xf borderId="0" fillId="0" fontId="8" numFmtId="174" xfId="0" applyAlignment="1" applyFont="1" applyNumberFormat="1">
      <alignment vertical="center"/>
    </xf>
    <xf borderId="0" fillId="0" fontId="14" numFmtId="0" xfId="0" applyAlignment="1" applyFont="1">
      <alignment vertical="center"/>
    </xf>
    <xf borderId="0" fillId="0" fontId="14" numFmtId="173" xfId="0" applyAlignment="1" applyFont="1" applyNumberFormat="1">
      <alignment vertical="center"/>
    </xf>
    <xf borderId="0" fillId="0" fontId="14" numFmtId="174" xfId="0" applyAlignment="1" applyFont="1" applyNumberFormat="1">
      <alignment vertical="center"/>
    </xf>
    <xf borderId="0" fillId="0" fontId="15" numFmtId="175" xfId="0" applyAlignment="1" applyFont="1" applyNumberFormat="1">
      <alignment vertical="center"/>
    </xf>
    <xf borderId="0" fillId="0" fontId="11" numFmtId="0" xfId="0" applyAlignment="1" applyFont="1">
      <alignment vertical="center"/>
    </xf>
    <xf borderId="0" fillId="0" fontId="11" numFmtId="173" xfId="0" applyAlignment="1" applyFont="1" applyNumberFormat="1">
      <alignment vertical="center"/>
    </xf>
    <xf borderId="0" fillId="0" fontId="11" numFmtId="174" xfId="0" applyAlignment="1" applyFont="1" applyNumberFormat="1">
      <alignment vertical="center"/>
    </xf>
    <xf borderId="10" fillId="0" fontId="1" numFmtId="0" xfId="0" applyAlignment="1" applyBorder="1" applyFont="1">
      <alignment horizontal="center" vertical="center"/>
    </xf>
    <xf borderId="10" fillId="0" fontId="6" numFmtId="0" xfId="0" applyBorder="1" applyFont="1"/>
    <xf borderId="0" fillId="0" fontId="7" numFmtId="176" xfId="0" applyAlignment="1" applyFont="1" applyNumberFormat="1">
      <alignment horizontal="right" vertical="center"/>
    </xf>
    <xf borderId="0" fillId="0" fontId="15" numFmtId="176" xfId="0" applyAlignment="1" applyFont="1" applyNumberFormat="1">
      <alignment horizontal="right" vertical="center"/>
    </xf>
    <xf borderId="0" fillId="0" fontId="10" numFmtId="172" xfId="0" applyAlignment="1" applyFont="1" applyNumberFormat="1">
      <alignment vertical="center"/>
    </xf>
    <xf borderId="0" fillId="0" fontId="16" numFmtId="172" xfId="0" applyFont="1" applyNumberFormat="1"/>
    <xf borderId="11" fillId="3" fontId="15" numFmtId="169" xfId="0" applyAlignment="1" applyBorder="1" applyFont="1" applyNumberFormat="1">
      <alignment horizontal="right" vertical="center"/>
    </xf>
    <xf borderId="12" fillId="3" fontId="15" numFmtId="169" xfId="0" applyAlignment="1" applyBorder="1" applyFont="1" applyNumberFormat="1">
      <alignment horizontal="right" vertical="center"/>
    </xf>
    <xf borderId="13" fillId="3" fontId="15" numFmtId="169" xfId="0" applyAlignment="1" applyBorder="1" applyFont="1" applyNumberFormat="1">
      <alignment horizontal="right" vertical="center"/>
    </xf>
    <xf borderId="14" fillId="3" fontId="15" numFmtId="169" xfId="0" applyAlignment="1" applyBorder="1" applyFont="1" applyNumberFormat="1">
      <alignment horizontal="right" vertical="center"/>
    </xf>
    <xf borderId="9" fillId="3" fontId="15" numFmtId="169" xfId="0" applyAlignment="1" applyBorder="1" applyFont="1" applyNumberFormat="1">
      <alignment horizontal="right" vertical="center"/>
    </xf>
    <xf borderId="15" fillId="3" fontId="15" numFmtId="169" xfId="0" applyAlignment="1" applyBorder="1" applyFont="1" applyNumberFormat="1">
      <alignment horizontal="right" vertical="center"/>
    </xf>
    <xf borderId="16" fillId="3" fontId="15" numFmtId="169" xfId="0" applyAlignment="1" applyBorder="1" applyFont="1" applyNumberFormat="1">
      <alignment horizontal="right" vertical="center"/>
    </xf>
    <xf borderId="17" fillId="3" fontId="15" numFmtId="169" xfId="0" applyAlignment="1" applyBorder="1" applyFont="1" applyNumberFormat="1">
      <alignment horizontal="right" vertical="center"/>
    </xf>
    <xf borderId="18" fillId="3" fontId="15" numFmtId="169" xfId="0" applyAlignment="1" applyBorder="1" applyFont="1" applyNumberFormat="1">
      <alignment horizontal="right" vertical="center"/>
    </xf>
    <xf borderId="10" fillId="0" fontId="1" numFmtId="0" xfId="0" applyAlignment="1" applyBorder="1" applyFont="1">
      <alignment horizontal="center"/>
    </xf>
    <xf borderId="0" fillId="0" fontId="11" numFmtId="172" xfId="0" applyFont="1" applyNumberFormat="1"/>
    <xf borderId="11" fillId="3" fontId="11" numFmtId="171" xfId="0" applyAlignment="1" applyBorder="1" applyFont="1" applyNumberFormat="1">
      <alignment vertical="center"/>
    </xf>
    <xf borderId="12" fillId="3" fontId="11" numFmtId="171" xfId="0" applyAlignment="1" applyBorder="1" applyFont="1" applyNumberFormat="1">
      <alignment vertical="center"/>
    </xf>
    <xf borderId="13" fillId="3" fontId="11" numFmtId="171" xfId="0" applyAlignment="1" applyBorder="1" applyFont="1" applyNumberFormat="1">
      <alignment vertical="center"/>
    </xf>
    <xf borderId="11" fillId="3" fontId="15" numFmtId="177" xfId="0" applyAlignment="1" applyBorder="1" applyFont="1" applyNumberFormat="1">
      <alignment vertical="center"/>
    </xf>
    <xf borderId="12" fillId="3" fontId="15" numFmtId="177" xfId="0" applyAlignment="1" applyBorder="1" applyFont="1" applyNumberFormat="1">
      <alignment vertical="center"/>
    </xf>
    <xf borderId="13" fillId="3" fontId="15" numFmtId="177" xfId="0" applyAlignment="1" applyBorder="1" applyFont="1" applyNumberFormat="1">
      <alignment vertical="center"/>
    </xf>
    <xf borderId="14" fillId="3" fontId="11" numFmtId="171" xfId="0" applyAlignment="1" applyBorder="1" applyFont="1" applyNumberFormat="1">
      <alignment vertical="center"/>
    </xf>
    <xf borderId="9" fillId="3" fontId="11" numFmtId="171" xfId="0" applyAlignment="1" applyBorder="1" applyFont="1" applyNumberFormat="1">
      <alignment vertical="center"/>
    </xf>
    <xf borderId="15" fillId="3" fontId="11" numFmtId="171" xfId="0" applyAlignment="1" applyBorder="1" applyFont="1" applyNumberFormat="1">
      <alignment vertical="center"/>
    </xf>
    <xf borderId="14" fillId="3" fontId="15" numFmtId="177" xfId="0" applyAlignment="1" applyBorder="1" applyFont="1" applyNumberFormat="1">
      <alignment vertical="center"/>
    </xf>
    <xf borderId="9" fillId="3" fontId="15" numFmtId="177" xfId="0" applyAlignment="1" applyBorder="1" applyFont="1" applyNumberFormat="1">
      <alignment vertical="center"/>
    </xf>
    <xf borderId="15" fillId="3" fontId="15" numFmtId="177" xfId="0" applyAlignment="1" applyBorder="1" applyFont="1" applyNumberFormat="1">
      <alignment vertical="center"/>
    </xf>
    <xf borderId="16" fillId="3" fontId="11" numFmtId="171" xfId="0" applyAlignment="1" applyBorder="1" applyFont="1" applyNumberFormat="1">
      <alignment vertical="center"/>
    </xf>
    <xf borderId="17" fillId="3" fontId="11" numFmtId="171" xfId="0" applyAlignment="1" applyBorder="1" applyFont="1" applyNumberFormat="1">
      <alignment vertical="center"/>
    </xf>
    <xf borderId="18" fillId="3" fontId="11" numFmtId="171" xfId="0" applyAlignment="1" applyBorder="1" applyFont="1" applyNumberFormat="1">
      <alignment vertical="center"/>
    </xf>
    <xf borderId="16" fillId="3" fontId="15" numFmtId="177" xfId="0" applyAlignment="1" applyBorder="1" applyFont="1" applyNumberFormat="1">
      <alignment vertical="center"/>
    </xf>
    <xf borderId="17" fillId="3" fontId="15" numFmtId="177" xfId="0" applyAlignment="1" applyBorder="1" applyFont="1" applyNumberFormat="1">
      <alignment vertical="center"/>
    </xf>
    <xf borderId="18" fillId="3" fontId="15" numFmtId="177" xfId="0" applyAlignment="1" applyBorder="1" applyFont="1" applyNumberFormat="1">
      <alignment vertical="center"/>
    </xf>
    <xf borderId="0" fillId="0" fontId="11" numFmtId="171" xfId="0" applyAlignment="1" applyFont="1" applyNumberFormat="1">
      <alignment vertical="center"/>
    </xf>
    <xf borderId="0" fillId="0" fontId="15" numFmtId="0" xfId="0" applyAlignment="1" applyFont="1">
      <alignment vertical="center"/>
    </xf>
    <xf borderId="11" fillId="3" fontId="15" numFmtId="178" xfId="0" applyAlignment="1" applyBorder="1" applyFont="1" applyNumberFormat="1">
      <alignment vertical="center"/>
    </xf>
    <xf borderId="12" fillId="3" fontId="15" numFmtId="178" xfId="0" applyAlignment="1" applyBorder="1" applyFont="1" applyNumberFormat="1">
      <alignment vertical="center"/>
    </xf>
    <xf borderId="13" fillId="3" fontId="15" numFmtId="178" xfId="0" applyAlignment="1" applyBorder="1" applyFont="1" applyNumberFormat="1">
      <alignment vertical="center"/>
    </xf>
    <xf borderId="14" fillId="3" fontId="15" numFmtId="178" xfId="0" applyAlignment="1" applyBorder="1" applyFont="1" applyNumberFormat="1">
      <alignment vertical="center"/>
    </xf>
    <xf borderId="9" fillId="3" fontId="15" numFmtId="178" xfId="0" applyAlignment="1" applyBorder="1" applyFont="1" applyNumberFormat="1">
      <alignment vertical="center"/>
    </xf>
    <xf borderId="15" fillId="3" fontId="15" numFmtId="178" xfId="0" applyAlignment="1" applyBorder="1" applyFont="1" applyNumberFormat="1">
      <alignment vertical="center"/>
    </xf>
    <xf borderId="16" fillId="3" fontId="15" numFmtId="178" xfId="0" applyAlignment="1" applyBorder="1" applyFont="1" applyNumberFormat="1">
      <alignment vertical="center"/>
    </xf>
    <xf borderId="17" fillId="3" fontId="15" numFmtId="178" xfId="0" applyAlignment="1" applyBorder="1" applyFont="1" applyNumberFormat="1">
      <alignment vertical="center"/>
    </xf>
    <xf borderId="18" fillId="3" fontId="15" numFmtId="178" xfId="0" applyAlignment="1" applyBorder="1" applyFont="1" applyNumberFormat="1">
      <alignment vertical="center"/>
    </xf>
    <xf borderId="19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/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16" width="10.71"/>
    <col customWidth="1" min="17" max="26" width="8.71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4.0" customHeight="1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.25" customHeight="1">
      <c r="A3" s="3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  <c r="R3" s="3"/>
      <c r="S3" s="3"/>
      <c r="T3" s="3"/>
      <c r="U3" s="3"/>
      <c r="V3" s="3"/>
      <c r="W3" s="3"/>
      <c r="X3" s="3"/>
      <c r="Y3" s="3"/>
      <c r="Z3" s="3"/>
    </row>
    <row r="4" ht="12.75" customHeight="1">
      <c r="A4" s="1"/>
      <c r="B4" s="6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7"/>
      <c r="B5" s="7"/>
      <c r="C5" s="7"/>
      <c r="D5" s="7"/>
      <c r="E5" s="7"/>
      <c r="F5" s="7"/>
      <c r="G5" s="8" t="s">
        <v>2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2.75" customHeight="1">
      <c r="A6" s="7"/>
      <c r="B6" s="7"/>
      <c r="C6" s="7"/>
      <c r="D6" s="7"/>
      <c r="E6" s="7"/>
      <c r="F6" s="9" t="s">
        <v>3</v>
      </c>
      <c r="G6" s="9" t="s">
        <v>4</v>
      </c>
      <c r="H6" s="10" t="s">
        <v>5</v>
      </c>
      <c r="I6" s="11"/>
      <c r="J6" s="11"/>
      <c r="K6" s="11"/>
      <c r="L6" s="11"/>
      <c r="M6" s="11"/>
      <c r="N6" s="11"/>
      <c r="O6" s="11"/>
      <c r="P6" s="11"/>
      <c r="Q6" s="7"/>
      <c r="R6" s="7"/>
      <c r="S6" s="7"/>
      <c r="T6" s="7"/>
      <c r="U6" s="7"/>
      <c r="V6" s="7"/>
      <c r="W6" s="7"/>
      <c r="X6" s="7"/>
      <c r="Y6" s="7"/>
      <c r="Z6" s="7"/>
    </row>
    <row r="7" ht="13.5" customHeight="1">
      <c r="A7" s="7"/>
      <c r="B7" s="12"/>
      <c r="C7" s="12"/>
      <c r="D7" s="12"/>
      <c r="E7" s="12"/>
      <c r="F7" s="12">
        <v>41274.0</v>
      </c>
      <c r="G7" s="12">
        <v>41547.0</v>
      </c>
      <c r="H7" s="13">
        <f t="shared" ref="H7:P7" si="1">EOMONTH(G7,12)</f>
        <v>41912</v>
      </c>
      <c r="I7" s="13">
        <f t="shared" si="1"/>
        <v>42277</v>
      </c>
      <c r="J7" s="13">
        <f t="shared" si="1"/>
        <v>42643</v>
      </c>
      <c r="K7" s="13">
        <f t="shared" si="1"/>
        <v>43008</v>
      </c>
      <c r="L7" s="13">
        <f t="shared" si="1"/>
        <v>43373</v>
      </c>
      <c r="M7" s="13">
        <f t="shared" si="1"/>
        <v>43738</v>
      </c>
      <c r="N7" s="13">
        <f t="shared" si="1"/>
        <v>44104</v>
      </c>
      <c r="O7" s="13">
        <f t="shared" si="1"/>
        <v>44469</v>
      </c>
      <c r="P7" s="13">
        <f t="shared" si="1"/>
        <v>44834</v>
      </c>
      <c r="Q7" s="7"/>
      <c r="R7" s="7"/>
      <c r="S7" s="7"/>
      <c r="T7" s="7"/>
      <c r="U7" s="7"/>
      <c r="V7" s="7"/>
      <c r="W7" s="7"/>
      <c r="X7" s="7"/>
      <c r="Y7" s="7"/>
      <c r="Z7" s="7"/>
    </row>
    <row r="8" ht="4.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3.5" customHeight="1">
      <c r="A9" s="3"/>
      <c r="B9" s="3" t="s">
        <v>6</v>
      </c>
      <c r="C9" s="3"/>
      <c r="D9" s="3"/>
      <c r="E9" s="3"/>
      <c r="F9" s="3"/>
      <c r="G9" s="14">
        <v>0.75</v>
      </c>
      <c r="H9" s="14">
        <v>1.0</v>
      </c>
      <c r="I9" s="14">
        <v>1.0</v>
      </c>
      <c r="J9" s="14">
        <v>1.0</v>
      </c>
      <c r="K9" s="14">
        <v>1.0</v>
      </c>
      <c r="L9" s="14">
        <v>1.0</v>
      </c>
      <c r="M9" s="14">
        <v>1.0</v>
      </c>
      <c r="N9" s="14">
        <v>1.0</v>
      </c>
      <c r="O9" s="14">
        <v>1.0</v>
      </c>
      <c r="P9" s="14">
        <v>1.0</v>
      </c>
      <c r="Q9" s="3"/>
      <c r="R9" s="3"/>
      <c r="S9" s="3"/>
      <c r="T9" s="3"/>
      <c r="U9" s="3"/>
      <c r="V9" s="3"/>
      <c r="W9" s="3"/>
      <c r="X9" s="3"/>
      <c r="Y9" s="3"/>
      <c r="Z9" s="3"/>
    </row>
    <row r="10" ht="13.5" customHeight="1">
      <c r="A10" s="3"/>
      <c r="B10" s="3" t="s">
        <v>7</v>
      </c>
      <c r="C10" s="3"/>
      <c r="D10" s="3"/>
      <c r="E10" s="3"/>
      <c r="F10" s="3"/>
      <c r="G10" s="15">
        <f t="shared" ref="G10:P10" si="2">SUM($G9:G9)</f>
        <v>0.75</v>
      </c>
      <c r="H10" s="15">
        <f t="shared" si="2"/>
        <v>1.75</v>
      </c>
      <c r="I10" s="15">
        <f t="shared" si="2"/>
        <v>2.75</v>
      </c>
      <c r="J10" s="15">
        <f t="shared" si="2"/>
        <v>3.75</v>
      </c>
      <c r="K10" s="15">
        <f t="shared" si="2"/>
        <v>4.75</v>
      </c>
      <c r="L10" s="15">
        <f t="shared" si="2"/>
        <v>5.75</v>
      </c>
      <c r="M10" s="15">
        <f t="shared" si="2"/>
        <v>6.75</v>
      </c>
      <c r="N10" s="15">
        <f t="shared" si="2"/>
        <v>7.75</v>
      </c>
      <c r="O10" s="15">
        <f t="shared" si="2"/>
        <v>8.75</v>
      </c>
      <c r="P10" s="15">
        <f t="shared" si="2"/>
        <v>9.75</v>
      </c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3.5" customHeight="1">
      <c r="A11" s="3"/>
      <c r="B11" s="3"/>
      <c r="C11" s="3"/>
      <c r="D11" s="3"/>
      <c r="E11" s="3"/>
      <c r="F11" s="3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3.5" customHeight="1">
      <c r="A12" s="3"/>
      <c r="B12" s="16" t="s">
        <v>8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4.5" customHeight="1">
      <c r="A13" s="3"/>
      <c r="B13" s="19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3.5" customHeight="1">
      <c r="A14" s="3"/>
      <c r="B14" s="3" t="s">
        <v>9</v>
      </c>
      <c r="C14" s="3"/>
      <c r="D14" s="3"/>
      <c r="E14" s="3"/>
      <c r="F14" s="20">
        <v>25.585417972103045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3.5" customHeight="1">
      <c r="A15" s="3"/>
      <c r="B15" s="3" t="s">
        <v>10</v>
      </c>
      <c r="C15" s="3"/>
      <c r="D15" s="3"/>
      <c r="E15" s="3"/>
      <c r="F15" s="21">
        <v>35.15916487119438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3.5" customHeight="1">
      <c r="A16" s="3"/>
      <c r="B16" s="3" t="s">
        <v>11</v>
      </c>
      <c r="C16" s="3"/>
      <c r="D16" s="3"/>
      <c r="E16" s="3"/>
      <c r="F16" s="22">
        <v>0.35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3.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3.5" customHeight="1">
      <c r="A18" s="3"/>
      <c r="B18" s="16" t="s">
        <v>12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8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4.5" customHeight="1">
      <c r="A19" s="3"/>
      <c r="B19" s="1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3.5" customHeight="1">
      <c r="A20" s="3"/>
      <c r="B20" s="3" t="s">
        <v>13</v>
      </c>
      <c r="C20" s="3"/>
      <c r="D20" s="3"/>
      <c r="E20" s="3"/>
      <c r="F20" s="23"/>
      <c r="G20" s="20">
        <v>94.87499999999997</v>
      </c>
      <c r="H20" s="20">
        <v>155.90000000000003</v>
      </c>
      <c r="I20" s="20">
        <v>160.0999999999999</v>
      </c>
      <c r="J20" s="20">
        <v>161.26136025504778</v>
      </c>
      <c r="K20" s="20">
        <v>162.43308759420017</v>
      </c>
      <c r="L20" s="20">
        <v>163.61527456103465</v>
      </c>
      <c r="M20" s="20">
        <v>164.80801452523522</v>
      </c>
      <c r="N20" s="20">
        <v>166.01140168996628</v>
      </c>
      <c r="O20" s="20">
        <v>167.22553109931346</v>
      </c>
      <c r="P20" s="20">
        <v>168.45049864578976</v>
      </c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3.5" customHeight="1">
      <c r="A21" s="1"/>
      <c r="B21" s="3"/>
      <c r="C21" s="3"/>
      <c r="D21" s="3"/>
      <c r="E21" s="3"/>
      <c r="F21" s="23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3" t="s">
        <v>14</v>
      </c>
      <c r="C22" s="3"/>
      <c r="D22" s="3"/>
      <c r="E22" s="3"/>
      <c r="F22" s="23"/>
      <c r="G22" s="20">
        <v>82.69285714285712</v>
      </c>
      <c r="H22" s="20">
        <v>139.6571428571429</v>
      </c>
      <c r="I22" s="20">
        <v>143.85714285714278</v>
      </c>
      <c r="J22" s="20">
        <v>144.89263701229692</v>
      </c>
      <c r="K22" s="20">
        <v>145.93737468594549</v>
      </c>
      <c r="L22" s="20">
        <v>146.9914383919624</v>
      </c>
      <c r="M22" s="20">
        <v>148.05491138079609</v>
      </c>
      <c r="N22" s="20">
        <v>150.73502050318723</v>
      </c>
      <c r="O22" s="20">
        <v>152.35327907394588</v>
      </c>
      <c r="P22" s="20">
        <v>153.4454868786442</v>
      </c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3" t="s">
        <v>15</v>
      </c>
      <c r="C23" s="3"/>
      <c r="D23" s="3"/>
      <c r="E23" s="3"/>
      <c r="F23" s="3"/>
      <c r="G23" s="25">
        <f t="shared" ref="G23:P23" si="3">-G22*$F$16</f>
        <v>-28.9425</v>
      </c>
      <c r="H23" s="25">
        <f t="shared" si="3"/>
        <v>-48.88</v>
      </c>
      <c r="I23" s="25">
        <f t="shared" si="3"/>
        <v>-50.35</v>
      </c>
      <c r="J23" s="25">
        <f t="shared" si="3"/>
        <v>-50.71242295</v>
      </c>
      <c r="K23" s="25">
        <f t="shared" si="3"/>
        <v>-51.07808114</v>
      </c>
      <c r="L23" s="25">
        <f t="shared" si="3"/>
        <v>-51.44700344</v>
      </c>
      <c r="M23" s="25">
        <f t="shared" si="3"/>
        <v>-51.81921898</v>
      </c>
      <c r="N23" s="25">
        <f t="shared" si="3"/>
        <v>-52.75725718</v>
      </c>
      <c r="O23" s="25">
        <f t="shared" si="3"/>
        <v>-53.32364768</v>
      </c>
      <c r="P23" s="25">
        <f t="shared" si="3"/>
        <v>-53.70592041</v>
      </c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26" t="s">
        <v>16</v>
      </c>
      <c r="C24" s="26"/>
      <c r="D24" s="26"/>
      <c r="E24" s="26"/>
      <c r="F24" s="27"/>
      <c r="G24" s="28">
        <f t="shared" ref="G24:P24" si="4">SUM(G22:G23)</f>
        <v>53.75035714</v>
      </c>
      <c r="H24" s="28">
        <f t="shared" si="4"/>
        <v>90.77714286</v>
      </c>
      <c r="I24" s="28">
        <f t="shared" si="4"/>
        <v>93.50714286</v>
      </c>
      <c r="J24" s="28">
        <f t="shared" si="4"/>
        <v>94.18021406</v>
      </c>
      <c r="K24" s="28">
        <f t="shared" si="4"/>
        <v>94.85929355</v>
      </c>
      <c r="L24" s="28">
        <f t="shared" si="4"/>
        <v>95.54443495</v>
      </c>
      <c r="M24" s="28">
        <f t="shared" si="4"/>
        <v>96.2356924</v>
      </c>
      <c r="N24" s="28">
        <f t="shared" si="4"/>
        <v>97.97776333</v>
      </c>
      <c r="O24" s="28">
        <f t="shared" si="4"/>
        <v>99.0296314</v>
      </c>
      <c r="P24" s="28">
        <f t="shared" si="4"/>
        <v>99.73956647</v>
      </c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3" t="s">
        <v>17</v>
      </c>
      <c r="C25" s="3"/>
      <c r="D25" s="3"/>
      <c r="E25" s="3"/>
      <c r="F25" s="3"/>
      <c r="G25" s="29">
        <v>12.182142857142857</v>
      </c>
      <c r="H25" s="29">
        <v>16.242857142857144</v>
      </c>
      <c r="I25" s="29">
        <v>16.24285714285714</v>
      </c>
      <c r="J25" s="29">
        <v>16.368723242750868</v>
      </c>
      <c r="K25" s="29">
        <v>16.495712908254703</v>
      </c>
      <c r="L25" s="29">
        <v>16.623836169072277</v>
      </c>
      <c r="M25" s="29">
        <v>16.753103144439127</v>
      </c>
      <c r="N25" s="29">
        <v>15.276381186779041</v>
      </c>
      <c r="O25" s="29">
        <v>14.872252025367564</v>
      </c>
      <c r="P25" s="29">
        <v>15.00501176714555</v>
      </c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3" t="s">
        <v>18</v>
      </c>
      <c r="C26" s="3"/>
      <c r="D26" s="3"/>
      <c r="E26" s="3"/>
      <c r="F26" s="3"/>
      <c r="G26" s="29">
        <v>-12.750000000000002</v>
      </c>
      <c r="H26" s="29">
        <v>-18.0</v>
      </c>
      <c r="I26" s="29">
        <v>-18.999999999999996</v>
      </c>
      <c r="J26" s="29">
        <v>-19.169606801275233</v>
      </c>
      <c r="K26" s="29">
        <v>-19.340727627131464</v>
      </c>
      <c r="L26" s="29">
        <v>-19.513375992772165</v>
      </c>
      <c r="M26" s="29">
        <v>-19.687565534046644</v>
      </c>
      <c r="N26" s="29">
        <v>-19.863310008526977</v>
      </c>
      <c r="O26" s="29">
        <v>-20.04062329659459</v>
      </c>
      <c r="P26" s="29">
        <v>-20.21951940253656</v>
      </c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3" t="s">
        <v>19</v>
      </c>
      <c r="C27" s="3"/>
      <c r="D27" s="3"/>
      <c r="E27" s="3"/>
      <c r="F27" s="3"/>
      <c r="G27" s="29">
        <v>1.9555124741068397</v>
      </c>
      <c r="H27" s="29">
        <v>-3.790203790720099</v>
      </c>
      <c r="I27" s="29">
        <v>-1.293487816307362</v>
      </c>
      <c r="J27" s="29">
        <v>-0.41035585590583423</v>
      </c>
      <c r="K27" s="29">
        <v>-0.4140189687534388</v>
      </c>
      <c r="L27" s="29">
        <v>-0.41771478101429693</v>
      </c>
      <c r="M27" s="29">
        <v>-0.42144358458560305</v>
      </c>
      <c r="N27" s="29">
        <v>-0.4252056739697565</v>
      </c>
      <c r="O27" s="29">
        <v>-0.4290013462984916</v>
      </c>
      <c r="P27" s="29">
        <v>-0.4328309013557856</v>
      </c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3" t="s">
        <v>20</v>
      </c>
      <c r="C28" s="3"/>
      <c r="D28" s="3"/>
      <c r="E28" s="3"/>
      <c r="F28" s="3"/>
      <c r="G28" s="29">
        <v>0.0</v>
      </c>
      <c r="H28" s="29">
        <v>0.0</v>
      </c>
      <c r="I28" s="29">
        <v>0.0</v>
      </c>
      <c r="J28" s="29">
        <v>0.0</v>
      </c>
      <c r="K28" s="29">
        <v>0.0</v>
      </c>
      <c r="L28" s="29">
        <v>0.0</v>
      </c>
      <c r="M28" s="29">
        <v>0.0</v>
      </c>
      <c r="N28" s="29">
        <v>0.0</v>
      </c>
      <c r="O28" s="29">
        <v>0.0</v>
      </c>
      <c r="P28" s="29">
        <v>0.0</v>
      </c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30" t="s">
        <v>21</v>
      </c>
      <c r="C29" s="31"/>
      <c r="D29" s="31"/>
      <c r="E29" s="31"/>
      <c r="F29" s="32">
        <v>0.0</v>
      </c>
      <c r="G29" s="33">
        <f t="shared" ref="G29:P29" si="5">SUM(G24:G28)</f>
        <v>55.13801247</v>
      </c>
      <c r="H29" s="33">
        <f t="shared" si="5"/>
        <v>85.22979621</v>
      </c>
      <c r="I29" s="33">
        <f t="shared" si="5"/>
        <v>89.45651218</v>
      </c>
      <c r="J29" s="33">
        <f t="shared" si="5"/>
        <v>90.96897464</v>
      </c>
      <c r="K29" s="33">
        <f t="shared" si="5"/>
        <v>91.60025986</v>
      </c>
      <c r="L29" s="33">
        <f t="shared" si="5"/>
        <v>92.23718035</v>
      </c>
      <c r="M29" s="33">
        <f t="shared" si="5"/>
        <v>92.87978642</v>
      </c>
      <c r="N29" s="33">
        <f t="shared" si="5"/>
        <v>92.96562883</v>
      </c>
      <c r="O29" s="33">
        <f t="shared" si="5"/>
        <v>93.43225878</v>
      </c>
      <c r="P29" s="33">
        <f t="shared" si="5"/>
        <v>94.09222793</v>
      </c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3"/>
      <c r="B31" s="16" t="s">
        <v>22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8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4.5" customHeight="1">
      <c r="A32" s="3"/>
      <c r="B32" s="1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3.5" customHeight="1">
      <c r="A33" s="3"/>
      <c r="B33" s="3" t="str">
        <f>"( + ) Terminal cash flow ("&amp;TEXT(F52,"0.0x")&amp;" terminal multiple)"</f>
        <v>( + ) Terminal cash flow (5.0x terminal multiple)</v>
      </c>
      <c r="C33" s="3"/>
      <c r="D33" s="3"/>
      <c r="E33" s="3"/>
      <c r="F33" s="3"/>
      <c r="G33" s="3"/>
      <c r="H33" s="3"/>
      <c r="I33" s="3"/>
      <c r="J33" s="3"/>
      <c r="K33" s="24">
        <f>K20*F52</f>
        <v>812.165438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3.5" customHeight="1">
      <c r="A34" s="3"/>
      <c r="B34" s="26" t="s">
        <v>23</v>
      </c>
      <c r="C34" s="26"/>
      <c r="D34" s="26"/>
      <c r="E34" s="26"/>
      <c r="F34" s="34">
        <f t="shared" ref="F34:K34" si="6">F$29+F33</f>
        <v>0</v>
      </c>
      <c r="G34" s="34">
        <f t="shared" si="6"/>
        <v>55.13801247</v>
      </c>
      <c r="H34" s="34">
        <f t="shared" si="6"/>
        <v>85.22979621</v>
      </c>
      <c r="I34" s="34">
        <f t="shared" si="6"/>
        <v>89.45651218</v>
      </c>
      <c r="J34" s="34">
        <f t="shared" si="6"/>
        <v>90.96897464</v>
      </c>
      <c r="K34" s="34">
        <f t="shared" si="6"/>
        <v>903.7656978</v>
      </c>
      <c r="L34" s="24"/>
      <c r="M34" s="24"/>
      <c r="N34" s="24"/>
      <c r="O34" s="24"/>
      <c r="P34" s="24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3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3.5" customHeight="1">
      <c r="A36" s="35"/>
      <c r="B36" s="36" t="s">
        <v>24</v>
      </c>
      <c r="C36" s="36"/>
      <c r="D36" s="36"/>
      <c r="E36" s="36"/>
      <c r="F36" s="37">
        <f>XNPV($C$54,F34:K34,F$7:K$7)-F34</f>
        <v>773.0751293</v>
      </c>
      <c r="G36" s="38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ht="13.5" customHeight="1">
      <c r="A37" s="39"/>
      <c r="B37" s="39" t="s">
        <v>25</v>
      </c>
      <c r="C37" s="39"/>
      <c r="D37" s="39"/>
      <c r="E37" s="39"/>
      <c r="F37" s="40">
        <f>ROUND(F36-F54,1)</f>
        <v>0</v>
      </c>
      <c r="G37" s="41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3"/>
      <c r="B39" s="3" t="str">
        <f>"( + ) Terminal cash flow ("&amp;TEXT(F71,"0.0%")&amp;" terminal growth)"</f>
        <v>( + ) Terminal cash flow (0.5% terminal growth)</v>
      </c>
      <c r="C39" s="3"/>
      <c r="D39" s="3"/>
      <c r="E39" s="3"/>
      <c r="F39" s="3"/>
      <c r="G39" s="3"/>
      <c r="H39" s="3"/>
      <c r="I39" s="3"/>
      <c r="J39" s="3"/>
      <c r="K39" s="24">
        <f>K29*(1+F71)/(C73-F71)</f>
        <v>800.5066188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3.5" customHeight="1">
      <c r="A40" s="3"/>
      <c r="B40" s="26" t="s">
        <v>26</v>
      </c>
      <c r="C40" s="26"/>
      <c r="D40" s="26"/>
      <c r="E40" s="26"/>
      <c r="F40" s="34">
        <f t="shared" ref="F40:K40" si="7">F$29+F39</f>
        <v>0</v>
      </c>
      <c r="G40" s="34">
        <f t="shared" si="7"/>
        <v>55.13801247</v>
      </c>
      <c r="H40" s="34">
        <f t="shared" si="7"/>
        <v>85.22979621</v>
      </c>
      <c r="I40" s="34">
        <f t="shared" si="7"/>
        <v>89.45651218</v>
      </c>
      <c r="J40" s="34">
        <f t="shared" si="7"/>
        <v>90.96897464</v>
      </c>
      <c r="K40" s="34">
        <f t="shared" si="7"/>
        <v>892.1068786</v>
      </c>
      <c r="L40" s="24"/>
      <c r="M40" s="24"/>
      <c r="N40" s="24"/>
      <c r="O40" s="24"/>
      <c r="P40" s="24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35"/>
      <c r="B42" s="36" t="s">
        <v>27</v>
      </c>
      <c r="C42" s="36"/>
      <c r="D42" s="36"/>
      <c r="E42" s="36"/>
      <c r="F42" s="37">
        <f>XNPV($C$54,F40:K40,F$7:K$7)-F40</f>
        <v>766.2700177</v>
      </c>
      <c r="G42" s="38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ht="13.5" customHeight="1">
      <c r="A43" s="39"/>
      <c r="B43" s="39" t="s">
        <v>25</v>
      </c>
      <c r="C43" s="39"/>
      <c r="D43" s="39"/>
      <c r="E43" s="39"/>
      <c r="F43" s="40">
        <f>ROUND(F42-F73,1)</f>
        <v>0</v>
      </c>
      <c r="G43" s="41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3"/>
      <c r="B45" s="16" t="s">
        <v>28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8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4.5" customHeight="1">
      <c r="A46" s="3"/>
      <c r="B46" s="19"/>
      <c r="C46" s="3"/>
      <c r="D46" s="3"/>
      <c r="E46" s="3"/>
      <c r="F46" s="3"/>
      <c r="G46" s="42"/>
      <c r="H46" s="42"/>
      <c r="I46" s="42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3.5" customHeight="1">
      <c r="A47" s="43"/>
      <c r="B47" s="43" t="s">
        <v>29</v>
      </c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4"/>
      <c r="O47" s="45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 ht="13.5" customHeight="1">
      <c r="A48" s="43"/>
      <c r="B48" s="43" t="s">
        <v>30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4"/>
      <c r="O48" s="45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ht="13.5" customHeight="1">
      <c r="A49" s="3"/>
      <c r="B49" s="19"/>
      <c r="C49" s="3"/>
      <c r="D49" s="3"/>
      <c r="E49" s="3"/>
      <c r="F49" s="3"/>
      <c r="G49" s="42"/>
      <c r="H49" s="42"/>
      <c r="I49" s="42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3.5" customHeight="1">
      <c r="A50" s="3"/>
      <c r="B50" s="3"/>
      <c r="C50" s="3"/>
      <c r="D50" s="3"/>
      <c r="E50" s="35" t="s">
        <v>31</v>
      </c>
      <c r="F50" s="3"/>
      <c r="G50" s="3"/>
      <c r="H50" s="3"/>
      <c r="I50" s="35" t="s">
        <v>32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3.5" customHeight="1">
      <c r="A51" s="1"/>
      <c r="B51" s="1"/>
      <c r="C51" s="1"/>
      <c r="D51" s="1"/>
      <c r="E51" s="46" t="s">
        <v>33</v>
      </c>
      <c r="F51" s="47"/>
      <c r="G51" s="47"/>
      <c r="H51" s="1"/>
      <c r="I51" s="46" t="str">
        <f>E51</f>
        <v>Terminal EBITDA Multiple</v>
      </c>
      <c r="J51" s="47"/>
      <c r="K51" s="47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48">
        <v>4.5</v>
      </c>
      <c r="F52" s="48">
        <v>5.0</v>
      </c>
      <c r="G52" s="48">
        <v>5.5</v>
      </c>
      <c r="H52" s="1"/>
      <c r="I52" s="49">
        <f>$E$52</f>
        <v>4.5</v>
      </c>
      <c r="J52" s="49">
        <f>$F$52</f>
        <v>5</v>
      </c>
      <c r="K52" s="49">
        <f>$G$52</f>
        <v>5.5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3" t="s">
        <v>34</v>
      </c>
      <c r="C53" s="50">
        <f>C54-0.01</f>
        <v>0.11</v>
      </c>
      <c r="D53" s="51"/>
      <c r="E53" s="52">
        <f t="shared" ref="E53:G53" si="8">$G$29/(1+$C53)^($G$10)+$H$29/(1+$C53)^($H$10)+$I$29/(1+$C53)^($I$10)+$J$29/(1+$C53)^($J$10)+$K$29/(1+$C53)^($K$10)+E$52*$K$20/(1+$C53)^($K$10)</f>
        <v>751.6828886</v>
      </c>
      <c r="F53" s="53">
        <f t="shared" si="8"/>
        <v>801.1549896</v>
      </c>
      <c r="G53" s="54">
        <f t="shared" si="8"/>
        <v>850.6270906</v>
      </c>
      <c r="H53" s="1"/>
      <c r="I53" s="52">
        <f t="shared" ref="I53:K53" si="9">E53-$F$14</f>
        <v>726.0974706</v>
      </c>
      <c r="J53" s="53">
        <f t="shared" si="9"/>
        <v>775.5695716</v>
      </c>
      <c r="K53" s="54">
        <f t="shared" si="9"/>
        <v>825.0416726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3" t="s">
        <v>35</v>
      </c>
      <c r="C54" s="50">
        <v>0.12</v>
      </c>
      <c r="D54" s="51"/>
      <c r="E54" s="55">
        <f t="shared" ref="E54:G54" si="10">$G$29/(1+$C54)^($G$10)+$H$29/(1+$C54)^($H$10)+$I$29/(1+$C54)^($I$10)+$J$29/(1+$C54)^($J$10)+$K$29/(1+$C54)^($K$10)+E$52*$K$20/(1+$C54)^($K$10)</f>
        <v>725.6685727</v>
      </c>
      <c r="F54" s="56">
        <f t="shared" si="10"/>
        <v>773.0773654</v>
      </c>
      <c r="G54" s="57">
        <f t="shared" si="10"/>
        <v>820.4861582</v>
      </c>
      <c r="H54" s="1"/>
      <c r="I54" s="55">
        <f t="shared" ref="I54:K54" si="11">E54-$F$14</f>
        <v>700.0831547</v>
      </c>
      <c r="J54" s="56">
        <f t="shared" si="11"/>
        <v>747.4919474</v>
      </c>
      <c r="K54" s="57">
        <f t="shared" si="11"/>
        <v>794.9007402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3" t="s">
        <v>36</v>
      </c>
      <c r="C55" s="50">
        <f>C54+0.01</f>
        <v>0.13</v>
      </c>
      <c r="D55" s="51"/>
      <c r="E55" s="58">
        <f t="shared" ref="E55:G55" si="12">$G$29/(1+$C55)^($G$10)+$H$29/(1+$C55)^($H$10)+$I$29/(1+$C55)^($I$10)+$J$29/(1+$C55)^($J$10)+$K$29/(1+$C55)^($K$10)+E$52*$K$20/(1+$C55)^($K$10)</f>
        <v>700.87052</v>
      </c>
      <c r="F55" s="59">
        <f t="shared" si="12"/>
        <v>746.3192652</v>
      </c>
      <c r="G55" s="60">
        <f t="shared" si="12"/>
        <v>791.7680104</v>
      </c>
      <c r="H55" s="1"/>
      <c r="I55" s="58">
        <f t="shared" ref="I55:K55" si="13">E55-$F$14</f>
        <v>675.285102</v>
      </c>
      <c r="J55" s="59">
        <f t="shared" si="13"/>
        <v>720.7338472</v>
      </c>
      <c r="K55" s="60">
        <f t="shared" si="13"/>
        <v>766.1825924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75" customHeight="1">
      <c r="A57" s="3"/>
      <c r="B57" s="3"/>
      <c r="C57" s="3"/>
      <c r="D57" s="3"/>
      <c r="E57" s="35" t="s">
        <v>37</v>
      </c>
      <c r="F57" s="3"/>
      <c r="G57" s="3"/>
      <c r="H57" s="3"/>
      <c r="I57" s="35" t="s">
        <v>38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3.5" customHeight="1">
      <c r="A58" s="1"/>
      <c r="B58" s="1"/>
      <c r="C58" s="1"/>
      <c r="D58" s="1"/>
      <c r="E58" s="61" t="str">
        <f>E51</f>
        <v>Terminal EBITDA Multiple</v>
      </c>
      <c r="F58" s="47"/>
      <c r="G58" s="47"/>
      <c r="H58" s="1"/>
      <c r="I58" s="61" t="str">
        <f>E58</f>
        <v>Terminal EBITDA Multiple</v>
      </c>
      <c r="J58" s="47"/>
      <c r="K58" s="47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49">
        <f>$E$52</f>
        <v>4.5</v>
      </c>
      <c r="F59" s="49">
        <f>$F$52</f>
        <v>5</v>
      </c>
      <c r="G59" s="49">
        <f>$G$52</f>
        <v>5.5</v>
      </c>
      <c r="H59" s="1"/>
      <c r="I59" s="49">
        <f>$E$52</f>
        <v>4.5</v>
      </c>
      <c r="J59" s="49">
        <f>$F$52</f>
        <v>5</v>
      </c>
      <c r="K59" s="49">
        <f>$G$52</f>
        <v>5.5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3" t="s">
        <v>34</v>
      </c>
      <c r="C60" s="23">
        <f>$C$53</f>
        <v>0.11</v>
      </c>
      <c r="D60" s="62"/>
      <c r="E60" s="63">
        <f t="shared" ref="E60:G60" si="14">(E$59*$K$20*$C60-$K$29)/(E$59*$K$20+$K$29)</f>
        <v>-0.01361120055</v>
      </c>
      <c r="F60" s="64">
        <f t="shared" si="14"/>
        <v>-0.00250292934</v>
      </c>
      <c r="G60" s="65">
        <f t="shared" si="14"/>
        <v>0.006773480632</v>
      </c>
      <c r="H60" s="1"/>
      <c r="I60" s="66">
        <f t="shared" ref="I60:K60" si="15">I53/$F$15</f>
        <v>20.65172689</v>
      </c>
      <c r="J60" s="67">
        <f t="shared" si="15"/>
        <v>22.05881665</v>
      </c>
      <c r="K60" s="68">
        <f t="shared" si="15"/>
        <v>23.46590642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3" t="s">
        <v>35</v>
      </c>
      <c r="C61" s="23">
        <f>$C$54</f>
        <v>0.12</v>
      </c>
      <c r="D61" s="62"/>
      <c r="E61" s="69">
        <f t="shared" ref="E61:G61" si="16">(E$59*$K$20*$C61-$K$29)/(E$59*$K$20+$K$29)</f>
        <v>-0.004724814971</v>
      </c>
      <c r="F61" s="70">
        <f t="shared" si="16"/>
        <v>0.006483530756</v>
      </c>
      <c r="G61" s="71">
        <f t="shared" si="16"/>
        <v>0.01584351199</v>
      </c>
      <c r="H61" s="1"/>
      <c r="I61" s="72">
        <f t="shared" ref="I61:K61" si="17">I54/$F$15</f>
        <v>19.91182547</v>
      </c>
      <c r="J61" s="73">
        <f t="shared" si="17"/>
        <v>21.26023045</v>
      </c>
      <c r="K61" s="74">
        <f t="shared" si="17"/>
        <v>22.60863542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3" t="s">
        <v>36</v>
      </c>
      <c r="C62" s="23">
        <f>$C$55</f>
        <v>0.13</v>
      </c>
      <c r="D62" s="62"/>
      <c r="E62" s="75">
        <f t="shared" ref="E62:G62" si="18">(E$59*$K$20*$C62-$K$29)/(E$59*$K$20+$K$29)</f>
        <v>0.00416157061</v>
      </c>
      <c r="F62" s="76">
        <f t="shared" si="18"/>
        <v>0.01546999085</v>
      </c>
      <c r="G62" s="77">
        <f t="shared" si="18"/>
        <v>0.02491354335</v>
      </c>
      <c r="H62" s="1"/>
      <c r="I62" s="78">
        <f t="shared" ref="I62:K62" si="19">I55/$F$15</f>
        <v>19.20651712</v>
      </c>
      <c r="J62" s="79">
        <f t="shared" si="19"/>
        <v>20.49917425</v>
      </c>
      <c r="K62" s="80">
        <f t="shared" si="19"/>
        <v>21.79183138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3"/>
      <c r="B64" s="16" t="s">
        <v>39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8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4.5" customHeight="1">
      <c r="A65" s="3"/>
      <c r="B65" s="19"/>
      <c r="C65" s="3"/>
      <c r="D65" s="3"/>
      <c r="E65" s="3"/>
      <c r="F65" s="3"/>
      <c r="G65" s="42"/>
      <c r="H65" s="42"/>
      <c r="I65" s="42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3.5" customHeight="1">
      <c r="A66" s="43"/>
      <c r="B66" s="43" t="s">
        <v>40</v>
      </c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4"/>
      <c r="O66" s="45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ht="13.5" customHeight="1">
      <c r="A67" s="43"/>
      <c r="B67" s="43" t="s">
        <v>30</v>
      </c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4"/>
      <c r="O67" s="45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ht="13.5" customHeight="1">
      <c r="A68" s="3"/>
      <c r="B68" s="3"/>
      <c r="C68" s="3"/>
      <c r="D68" s="3"/>
      <c r="E68" s="42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75" customHeight="1">
      <c r="A69" s="3"/>
      <c r="B69" s="3"/>
      <c r="C69" s="3"/>
      <c r="D69" s="3"/>
      <c r="E69" s="35" t="s">
        <v>31</v>
      </c>
      <c r="F69" s="3"/>
      <c r="G69" s="3"/>
      <c r="H69" s="3"/>
      <c r="I69" s="35" t="s">
        <v>32</v>
      </c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75" customHeight="1">
      <c r="A70" s="1"/>
      <c r="B70" s="1"/>
      <c r="C70" s="1"/>
      <c r="D70" s="1"/>
      <c r="E70" s="61" t="s">
        <v>41</v>
      </c>
      <c r="F70" s="47"/>
      <c r="G70" s="47"/>
      <c r="H70" s="1"/>
      <c r="I70" s="61" t="str">
        <f>E70</f>
        <v>Terminal Perpetuity Growth Rate</v>
      </c>
      <c r="J70" s="47"/>
      <c r="K70" s="47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22">
        <v>0.0</v>
      </c>
      <c r="F71" s="22">
        <v>0.005</v>
      </c>
      <c r="G71" s="22">
        <v>0.01</v>
      </c>
      <c r="H71" s="3"/>
      <c r="I71" s="81">
        <f>$E$71</f>
        <v>0</v>
      </c>
      <c r="J71" s="81">
        <f>$F$71</f>
        <v>0.005</v>
      </c>
      <c r="K71" s="81">
        <f>$G$71</f>
        <v>0.01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3" t="s">
        <v>34</v>
      </c>
      <c r="C72" s="23">
        <f>$C$53</f>
        <v>0.11</v>
      </c>
      <c r="D72" s="62"/>
      <c r="E72" s="52">
        <f t="shared" ref="E72:G72" si="20">$G$29/(1+$C72)^($G$10)+$H$29/(1+$C72)^($H$10)+$I$29/(1+$C72)^($I$10)+$J$29/(1+$C72)^($J$10)+$K$29/(1+$C72)^($K$10)+($K$29*(1+E$71)/($C72-E$71))/(1+$C72)^($K$10)</f>
        <v>813.681428</v>
      </c>
      <c r="F72" s="53">
        <f t="shared" si="20"/>
        <v>840.4930789</v>
      </c>
      <c r="G72" s="54">
        <f t="shared" si="20"/>
        <v>869.9858948</v>
      </c>
      <c r="H72" s="1"/>
      <c r="I72" s="52">
        <f t="shared" ref="I72:K72" si="21">E72-$F$14</f>
        <v>788.09601</v>
      </c>
      <c r="J72" s="53">
        <f t="shared" si="21"/>
        <v>814.9076609</v>
      </c>
      <c r="K72" s="54">
        <f t="shared" si="21"/>
        <v>844.4004768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3" t="s">
        <v>35</v>
      </c>
      <c r="C73" s="23">
        <f>$C$54</f>
        <v>0.12</v>
      </c>
      <c r="D73" s="62"/>
      <c r="E73" s="55">
        <f t="shared" ref="E73:G73" si="22">$G$29/(1+$C73)^($G$10)+$H$29/(1+$C73)^($H$10)+$I$29/(1+$C73)^($I$10)+$J$29/(1+$C73)^($J$10)+$K$29/(1+$C73)^($K$10)+($K$29*(1+E$71)/($C73-E$71))/(1+$C73)^($K$10)</f>
        <v>744.5737089</v>
      </c>
      <c r="F73" s="56">
        <f t="shared" si="22"/>
        <v>766.2717256</v>
      </c>
      <c r="G73" s="57">
        <f t="shared" si="22"/>
        <v>789.9422892</v>
      </c>
      <c r="H73" s="1"/>
      <c r="I73" s="55">
        <f t="shared" ref="I73:K73" si="23">E73-$F$14</f>
        <v>718.988291</v>
      </c>
      <c r="J73" s="56">
        <f t="shared" si="23"/>
        <v>740.6863076</v>
      </c>
      <c r="K73" s="57">
        <f t="shared" si="23"/>
        <v>764.3568713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3" t="s">
        <v>36</v>
      </c>
      <c r="C74" s="23">
        <f>$C$55</f>
        <v>0.13</v>
      </c>
      <c r="D74" s="62"/>
      <c r="E74" s="58">
        <f t="shared" ref="E74:G74" si="24">$G$29/(1+$C74)^($G$10)+$H$29/(1+$C74)^($H$10)+$I$29/(1+$C74)^($I$10)+$J$29/(1+$C74)^($J$10)+$K$29/(1+$C74)^($K$10)+($K$29*(1+E$71)/($C74-E$71))/(1+$C74)^($K$10)</f>
        <v>686.1354172</v>
      </c>
      <c r="F74" s="59">
        <f t="shared" si="24"/>
        <v>703.9579401</v>
      </c>
      <c r="G74" s="60">
        <f t="shared" si="24"/>
        <v>723.2656733</v>
      </c>
      <c r="H74" s="1"/>
      <c r="I74" s="58">
        <f t="shared" ref="I74:K74" si="25">E74-$F$14</f>
        <v>660.5499992</v>
      </c>
      <c r="J74" s="59">
        <f t="shared" si="25"/>
        <v>678.3725222</v>
      </c>
      <c r="K74" s="60">
        <f t="shared" si="25"/>
        <v>697.6802553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3"/>
      <c r="B76" s="3"/>
      <c r="C76" s="3"/>
      <c r="D76" s="3"/>
      <c r="E76" s="35" t="s">
        <v>42</v>
      </c>
      <c r="F76" s="3"/>
      <c r="G76" s="3"/>
      <c r="H76" s="3"/>
      <c r="I76" s="35" t="s">
        <v>38</v>
      </c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75" customHeight="1">
      <c r="A77" s="1"/>
      <c r="B77" s="1"/>
      <c r="C77" s="1"/>
      <c r="D77" s="1"/>
      <c r="E77" s="61" t="str">
        <f>E70</f>
        <v>Terminal Perpetuity Growth Rate</v>
      </c>
      <c r="F77" s="47"/>
      <c r="G77" s="47"/>
      <c r="H77" s="1"/>
      <c r="I77" s="61" t="str">
        <f>E77</f>
        <v>Terminal Perpetuity Growth Rate</v>
      </c>
      <c r="J77" s="47"/>
      <c r="K77" s="47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81">
        <f>$E$71</f>
        <v>0</v>
      </c>
      <c r="F78" s="81">
        <f>$F$71</f>
        <v>0.005</v>
      </c>
      <c r="G78" s="81">
        <f>$G$71</f>
        <v>0.01</v>
      </c>
      <c r="H78" s="82"/>
      <c r="I78" s="81">
        <f>$E$71</f>
        <v>0</v>
      </c>
      <c r="J78" s="81">
        <f>$F$71</f>
        <v>0.005</v>
      </c>
      <c r="K78" s="81">
        <f>$G$71</f>
        <v>0.01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3" t="s">
        <v>34</v>
      </c>
      <c r="C79" s="23">
        <f>$C$53</f>
        <v>0.11</v>
      </c>
      <c r="D79" s="62"/>
      <c r="E79" s="83">
        <f t="shared" ref="E79:G79" si="26">$K$29*(1+E$78)/($C79-E$78)/$K$20</f>
        <v>5.126601036</v>
      </c>
      <c r="F79" s="84">
        <f t="shared" si="26"/>
        <v>5.397578519</v>
      </c>
      <c r="G79" s="85">
        <f t="shared" si="26"/>
        <v>5.695653751</v>
      </c>
      <c r="H79" s="1"/>
      <c r="I79" s="66">
        <f t="shared" ref="I79:K79" si="27">I72/$F$15</f>
        <v>22.4150947</v>
      </c>
      <c r="J79" s="67">
        <f t="shared" si="27"/>
        <v>23.17767398</v>
      </c>
      <c r="K79" s="68">
        <f t="shared" si="27"/>
        <v>24.0165112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3" t="s">
        <v>35</v>
      </c>
      <c r="C80" s="23">
        <f>$C$54</f>
        <v>0.12</v>
      </c>
      <c r="D80" s="62"/>
      <c r="E80" s="86">
        <f t="shared" ref="E80:G80" si="28">$K$29*(1+E$78)/($C80-E$78)/$K$20</f>
        <v>4.699384283</v>
      </c>
      <c r="F80" s="87">
        <f t="shared" si="28"/>
        <v>4.928223865</v>
      </c>
      <c r="G80" s="88">
        <f t="shared" si="28"/>
        <v>5.177867046</v>
      </c>
      <c r="H80" s="1"/>
      <c r="I80" s="72">
        <f t="shared" ref="I80:K80" si="29">I73/$F$15</f>
        <v>20.44952699</v>
      </c>
      <c r="J80" s="73">
        <f t="shared" si="29"/>
        <v>21.06666385</v>
      </c>
      <c r="K80" s="74">
        <f t="shared" si="29"/>
        <v>21.73990406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3" t="s">
        <v>36</v>
      </c>
      <c r="C81" s="23">
        <f>$C$55</f>
        <v>0.13</v>
      </c>
      <c r="D81" s="62"/>
      <c r="E81" s="89">
        <f t="shared" ref="E81:G81" si="30">$K$29*(1+E$78)/($C81-E$78)/$K$20</f>
        <v>4.337893184</v>
      </c>
      <c r="F81" s="90">
        <f t="shared" si="30"/>
        <v>4.533965956</v>
      </c>
      <c r="G81" s="91">
        <f t="shared" si="30"/>
        <v>4.746378125</v>
      </c>
      <c r="H81" s="1"/>
      <c r="I81" s="78">
        <f t="shared" ref="I81:K81" si="31">I74/$F$15</f>
        <v>18.78742006</v>
      </c>
      <c r="J81" s="79">
        <f t="shared" si="31"/>
        <v>19.29432979</v>
      </c>
      <c r="K81" s="80">
        <f t="shared" si="31"/>
        <v>19.843482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E77:G77"/>
    <mergeCell ref="I77:K77"/>
    <mergeCell ref="H6:P6"/>
    <mergeCell ref="E51:G51"/>
    <mergeCell ref="I51:K51"/>
    <mergeCell ref="E58:G58"/>
    <mergeCell ref="I58:K58"/>
    <mergeCell ref="E70:G70"/>
    <mergeCell ref="I70:K70"/>
  </mergeCells>
  <printOptions/>
  <pageMargins bottom="1.0" footer="0.0" header="0.0" left="0.75" right="0.75" top="1.0"/>
  <pageSetup orientation="portrait"/>
  <drawing r:id="rId1"/>
</worksheet>
</file>